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F:\Εξειδίκευση ΕΣΠΑ 2022-2027\Τελική πρόταση\"/>
    </mc:Choice>
  </mc:AlternateContent>
  <xr:revisionPtr revIDLastSave="0" documentId="13_ncr:1_{0189F065-2CA5-40BC-8410-12AB670822F5}" xr6:coauthVersionLast="36" xr6:coauthVersionMax="36" xr10:uidLastSave="{00000000-0000-0000-0000-000000000000}"/>
  <bookViews>
    <workbookView xWindow="0" yWindow="0" windowWidth="28800" windowHeight="12075" activeTab="1" xr2:uid="{F410FBC3-3351-47A3-8987-F1CB73AAF7B9}"/>
  </bookViews>
  <sheets>
    <sheet name="Σχολ. Μονάδες" sheetId="3" r:id="rId1"/>
    <sheet name="Χαρτογράφηση αναγκών ΑΜΕΑ" sheetId="14" r:id="rId2"/>
    <sheet name="Χαρτογράφηση Κτιρ. Εγκατ." sheetId="12" r:id="rId3"/>
    <sheet name="Χαρτογράφηση ΤΠΕ" sheetId="10" r:id="rId4"/>
    <sheet name="ΓΡΑΦΗΜΑΤΑ" sheetId="13" r:id="rId5"/>
    <sheet name="ΔΕΔΟΜΕΝΑ" sheetId="8" r:id="rId6"/>
  </sheets>
  <externalReferences>
    <externalReference r:id="rId7"/>
  </externalReferences>
  <definedNames>
    <definedName name="_xlnm._FilterDatabase" localSheetId="0" hidden="1">'Σχολ. Μονάδες'!$S$2:$AB$6</definedName>
    <definedName name="_xlnm._FilterDatabase" localSheetId="3" hidden="1">'Χαρτογράφηση ΤΠΕ'!$I$2:$AA$6</definedName>
    <definedName name="_ftn1" localSheetId="2">'Χαρτογράφηση Κτιρ. Εγκατ.'!#REF!</definedName>
    <definedName name="_ftnref1" localSheetId="2">'Χαρτογράφηση Κτιρ. Εγκατ.'!#REF!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89" i="12" l="1"/>
  <c r="D181" i="12" l="1"/>
  <c r="D166" i="12"/>
  <c r="D160" i="12"/>
  <c r="D153" i="12"/>
  <c r="D152" i="12"/>
  <c r="D191" i="12"/>
  <c r="D19" i="12"/>
  <c r="D11" i="12"/>
  <c r="D12" i="12"/>
  <c r="D35" i="12"/>
  <c r="D29" i="12"/>
  <c r="AG556" i="10" l="1"/>
  <c r="AF556" i="10"/>
  <c r="AE556" i="10"/>
  <c r="AD556" i="10"/>
  <c r="AB556" i="10"/>
  <c r="Z556" i="10"/>
  <c r="Y556" i="10"/>
  <c r="X556" i="10"/>
  <c r="W556" i="10"/>
  <c r="V556" i="10"/>
  <c r="U556" i="10"/>
  <c r="T556" i="10"/>
  <c r="S556" i="10"/>
  <c r="R556" i="10"/>
  <c r="Q556" i="10"/>
  <c r="P556" i="10"/>
  <c r="O556" i="10"/>
  <c r="N556" i="10"/>
  <c r="M556" i="10"/>
  <c r="L556" i="10"/>
  <c r="K556" i="10"/>
  <c r="J556" i="10"/>
  <c r="I556" i="10"/>
  <c r="AH556" i="10"/>
  <c r="D221" i="10" l="1"/>
  <c r="D220" i="10"/>
  <c r="D239" i="10"/>
  <c r="D227" i="10"/>
  <c r="D226" i="10"/>
  <c r="D245" i="10"/>
  <c r="D222" i="10"/>
  <c r="D241" i="10"/>
  <c r="D237" i="10"/>
  <c r="D249" i="10"/>
  <c r="D238" i="10"/>
  <c r="D243" i="10"/>
  <c r="D248" i="10"/>
  <c r="D236" i="10"/>
  <c r="D209" i="10"/>
  <c r="D244" i="10"/>
  <c r="D233" i="10"/>
  <c r="D247" i="10"/>
  <c r="D240" i="10"/>
  <c r="D229" i="10"/>
  <c r="D223" i="10"/>
  <c r="D219" i="10"/>
  <c r="D218" i="10"/>
  <c r="D232" i="10"/>
  <c r="D217" i="10"/>
  <c r="D230" i="10"/>
  <c r="D235" i="10"/>
  <c r="D216" i="10"/>
  <c r="D251" i="10"/>
  <c r="D215" i="10"/>
  <c r="D242" i="10"/>
  <c r="D214" i="10"/>
  <c r="D250" i="10"/>
  <c r="D246" i="10"/>
  <c r="D234" i="10"/>
  <c r="D213" i="10"/>
  <c r="D208" i="10"/>
  <c r="D212" i="10"/>
  <c r="D207" i="10"/>
  <c r="D224" i="10"/>
  <c r="D206" i="10"/>
  <c r="D211" i="10"/>
  <c r="D205" i="10"/>
  <c r="D225" i="10"/>
  <c r="D210" i="10"/>
  <c r="D231" i="10"/>
  <c r="D228" i="10"/>
  <c r="D204" i="10"/>
  <c r="D172" i="10"/>
  <c r="D193" i="10"/>
  <c r="D186" i="10"/>
  <c r="D169" i="10"/>
  <c r="D171" i="10"/>
  <c r="D191" i="10"/>
  <c r="D170" i="10"/>
  <c r="D180" i="10"/>
  <c r="D184" i="10"/>
  <c r="D202" i="10"/>
  <c r="D181" i="10"/>
  <c r="D182" i="10"/>
  <c r="D188" i="10"/>
  <c r="D200" i="10"/>
  <c r="D185" i="10"/>
  <c r="D190" i="10"/>
  <c r="D183" i="10"/>
  <c r="D199" i="10"/>
  <c r="D198" i="10"/>
  <c r="D152" i="10"/>
  <c r="D192" i="10"/>
  <c r="D168" i="10"/>
  <c r="D197" i="10"/>
  <c r="D196" i="10"/>
  <c r="D167" i="10"/>
  <c r="D151" i="10"/>
  <c r="D166" i="10"/>
  <c r="D165" i="10"/>
  <c r="D164" i="10"/>
  <c r="D174" i="10"/>
  <c r="D163" i="10"/>
  <c r="D162" i="10"/>
  <c r="D187" i="10"/>
  <c r="D161" i="10"/>
  <c r="D179" i="10"/>
  <c r="D160" i="10"/>
  <c r="D203" i="10"/>
  <c r="D159" i="10"/>
  <c r="D158" i="10"/>
  <c r="D189" i="10"/>
  <c r="D173" i="10"/>
  <c r="D194" i="10"/>
  <c r="D201" i="10"/>
  <c r="D195" i="10"/>
  <c r="D157" i="10"/>
  <c r="D156" i="10"/>
  <c r="D178" i="10"/>
  <c r="D155" i="10"/>
  <c r="D150" i="10"/>
  <c r="D154" i="10"/>
  <c r="D175" i="10"/>
  <c r="D176" i="10"/>
  <c r="D149" i="10"/>
  <c r="D177" i="10"/>
  <c r="D153" i="10"/>
  <c r="D522" i="10"/>
  <c r="D542" i="10"/>
  <c r="D519" i="10"/>
  <c r="D520" i="10"/>
  <c r="D538" i="10"/>
  <c r="D517" i="10"/>
  <c r="D537" i="10"/>
  <c r="D535" i="10"/>
  <c r="D518" i="10"/>
  <c r="D545" i="10"/>
  <c r="D547" i="10"/>
  <c r="D529" i="10"/>
  <c r="D534" i="10"/>
  <c r="D551" i="10"/>
  <c r="D541" i="10"/>
  <c r="D527" i="10"/>
  <c r="D526" i="10"/>
  <c r="D516" i="10"/>
  <c r="D525" i="10"/>
  <c r="D521" i="10"/>
  <c r="D536" i="10"/>
  <c r="D553" i="10"/>
  <c r="D550" i="10"/>
  <c r="D549" i="10"/>
  <c r="D548" i="10"/>
  <c r="D546" i="10"/>
  <c r="D523" i="10"/>
  <c r="D543" i="10"/>
  <c r="D513" i="10"/>
  <c r="D515" i="10"/>
  <c r="D540" i="10"/>
  <c r="D531" i="10"/>
  <c r="D530" i="10"/>
  <c r="D512" i="10"/>
  <c r="D514" i="10"/>
  <c r="D533" i="10"/>
  <c r="D524" i="10"/>
  <c r="D528" i="10"/>
  <c r="D511" i="10"/>
  <c r="D555" i="10"/>
  <c r="D552" i="10"/>
  <c r="D539" i="10"/>
  <c r="D544" i="10"/>
  <c r="D554" i="10"/>
  <c r="D485" i="10"/>
  <c r="D505" i="10"/>
  <c r="D510" i="10"/>
  <c r="D484" i="10"/>
  <c r="D498" i="10"/>
  <c r="D486" i="10"/>
  <c r="D506" i="10"/>
  <c r="D501" i="10"/>
  <c r="D491" i="10"/>
  <c r="D497" i="10"/>
  <c r="D504" i="10"/>
  <c r="D489" i="10"/>
  <c r="D488" i="10"/>
  <c r="D483" i="10"/>
  <c r="D487" i="10"/>
  <c r="D500" i="10"/>
  <c r="D508" i="10"/>
  <c r="D507" i="10"/>
  <c r="D499" i="10"/>
  <c r="D503" i="10"/>
  <c r="D502" i="10"/>
  <c r="D482" i="10"/>
  <c r="D481" i="10"/>
  <c r="D496" i="10"/>
  <c r="D492" i="10"/>
  <c r="D494" i="10"/>
  <c r="D509" i="10"/>
  <c r="D480" i="10"/>
  <c r="D495" i="10"/>
  <c r="D479" i="10"/>
  <c r="D493" i="10"/>
  <c r="D490" i="10"/>
  <c r="D306" i="10"/>
  <c r="D286" i="10"/>
  <c r="D310" i="10"/>
  <c r="D285" i="10"/>
  <c r="D303" i="10"/>
  <c r="D290" i="10"/>
  <c r="D311" i="10"/>
  <c r="D302" i="10"/>
  <c r="D301" i="10"/>
  <c r="D297" i="10"/>
  <c r="D300" i="10"/>
  <c r="D280" i="10"/>
  <c r="D295" i="10"/>
  <c r="D293" i="10"/>
  <c r="D292" i="10"/>
  <c r="D291" i="10"/>
  <c r="D289" i="10"/>
  <c r="D288" i="10"/>
  <c r="D304" i="10"/>
  <c r="D287" i="10"/>
  <c r="D308" i="10"/>
  <c r="D305" i="10"/>
  <c r="D278" i="10"/>
  <c r="D294" i="10"/>
  <c r="D284" i="10"/>
  <c r="D282" i="10"/>
  <c r="D283" i="10"/>
  <c r="D299" i="10"/>
  <c r="D298" i="10"/>
  <c r="D281" i="10"/>
  <c r="D279" i="10"/>
  <c r="D307" i="10"/>
  <c r="D277" i="10"/>
  <c r="D309" i="10"/>
  <c r="D269" i="10"/>
  <c r="D264" i="10"/>
  <c r="D258" i="10"/>
  <c r="D270" i="10"/>
  <c r="D257" i="10"/>
  <c r="D261" i="10"/>
  <c r="D271" i="10"/>
  <c r="D256" i="10"/>
  <c r="D259" i="10"/>
  <c r="D275" i="10"/>
  <c r="D255" i="10"/>
  <c r="D267" i="10"/>
  <c r="D254" i="10"/>
  <c r="D260" i="10"/>
  <c r="D276" i="10"/>
  <c r="D265" i="10"/>
  <c r="D263" i="10"/>
  <c r="D262" i="10"/>
  <c r="D272" i="10"/>
  <c r="D274" i="10"/>
  <c r="D253" i="10"/>
  <c r="D273" i="10"/>
  <c r="D268" i="10"/>
  <c r="D252" i="10"/>
  <c r="D471" i="10"/>
  <c r="D436" i="10"/>
  <c r="D405" i="10"/>
  <c r="D396" i="10"/>
  <c r="D433" i="10"/>
  <c r="D417" i="10"/>
  <c r="D427" i="10"/>
  <c r="D475" i="10"/>
  <c r="D404" i="10"/>
  <c r="D457" i="10"/>
  <c r="D424" i="10"/>
  <c r="D398" i="10"/>
  <c r="D443" i="10"/>
  <c r="D423" i="10"/>
  <c r="D473" i="10"/>
  <c r="D403" i="10"/>
  <c r="D470" i="10"/>
  <c r="D468" i="10"/>
  <c r="D410" i="10"/>
  <c r="D416" i="10"/>
  <c r="D449" i="10"/>
  <c r="D435" i="10"/>
  <c r="D422" i="10"/>
  <c r="D408" i="10"/>
  <c r="D467" i="10"/>
  <c r="D477" i="10"/>
  <c r="D401" i="10"/>
  <c r="D474" i="10"/>
  <c r="D399" i="10"/>
  <c r="D412" i="10"/>
  <c r="D407" i="10"/>
  <c r="D420" i="10"/>
  <c r="D466" i="10"/>
  <c r="D476" i="10"/>
  <c r="D441" i="10"/>
  <c r="D413" i="10"/>
  <c r="D409" i="10"/>
  <c r="D472" i="10"/>
  <c r="D402" i="10"/>
  <c r="D469" i="10"/>
  <c r="D444" i="10"/>
  <c r="D411" i="10"/>
  <c r="D400" i="10"/>
  <c r="D453" i="10"/>
  <c r="D456" i="10"/>
  <c r="D431" i="10"/>
  <c r="D455" i="10"/>
  <c r="D429" i="10"/>
  <c r="D461" i="10"/>
  <c r="D428" i="10"/>
  <c r="D459" i="10"/>
  <c r="D418" i="10"/>
  <c r="D434" i="10"/>
  <c r="D465" i="10"/>
  <c r="D438" i="10"/>
  <c r="D430" i="10"/>
  <c r="D451" i="10"/>
  <c r="D458" i="10"/>
  <c r="D462" i="10"/>
  <c r="D460" i="10"/>
  <c r="D464" i="10"/>
  <c r="D425" i="10"/>
  <c r="D414" i="10"/>
  <c r="D442" i="10"/>
  <c r="D445" i="10"/>
  <c r="D454" i="10"/>
  <c r="D432" i="10"/>
  <c r="D440" i="10"/>
  <c r="D439" i="10"/>
  <c r="D426" i="10"/>
  <c r="D463" i="10"/>
  <c r="D421" i="10"/>
  <c r="D419" i="10"/>
  <c r="D415" i="10"/>
  <c r="D406" i="10"/>
  <c r="D452" i="10"/>
  <c r="D450" i="10"/>
  <c r="D447" i="10"/>
  <c r="D446" i="10"/>
  <c r="D448" i="10"/>
  <c r="D437" i="10"/>
  <c r="D372" i="10"/>
  <c r="D352" i="10"/>
  <c r="D328" i="10"/>
  <c r="D312" i="10"/>
  <c r="D318" i="10"/>
  <c r="D341" i="10"/>
  <c r="D351" i="10"/>
  <c r="D392" i="10"/>
  <c r="D323" i="10"/>
  <c r="D320" i="10"/>
  <c r="D346" i="10"/>
  <c r="D385" i="10"/>
  <c r="D322" i="10"/>
  <c r="D389" i="10"/>
  <c r="D386" i="10"/>
  <c r="D327" i="10"/>
  <c r="D340" i="10"/>
  <c r="D338" i="10"/>
  <c r="D345" i="10"/>
  <c r="D332" i="10"/>
  <c r="D393" i="10"/>
  <c r="D319" i="10"/>
  <c r="D350" i="10"/>
  <c r="D391" i="10"/>
  <c r="D316" i="10"/>
  <c r="D326" i="10"/>
  <c r="D321" i="10"/>
  <c r="D313" i="10"/>
  <c r="D343" i="10"/>
  <c r="D381" i="10"/>
  <c r="D331" i="10"/>
  <c r="D330" i="10"/>
  <c r="D388" i="10"/>
  <c r="D478" i="10"/>
  <c r="D387" i="10"/>
  <c r="D342" i="10"/>
  <c r="D329" i="10"/>
  <c r="D339" i="10"/>
  <c r="D317" i="10"/>
  <c r="D337" i="10"/>
  <c r="D360" i="10"/>
  <c r="D365" i="10"/>
  <c r="D356" i="10"/>
  <c r="D364" i="10"/>
  <c r="D355" i="10"/>
  <c r="D336" i="10"/>
  <c r="D377" i="10"/>
  <c r="D359" i="10"/>
  <c r="D384" i="10"/>
  <c r="D335" i="10"/>
  <c r="D371" i="10"/>
  <c r="D354" i="10"/>
  <c r="D368" i="10"/>
  <c r="D383" i="10"/>
  <c r="D333" i="10"/>
  <c r="D370" i="10"/>
  <c r="D376" i="10"/>
  <c r="D367" i="10"/>
  <c r="D373" i="10"/>
  <c r="D357" i="10"/>
  <c r="D375" i="10"/>
  <c r="D353" i="10"/>
  <c r="D358" i="10"/>
  <c r="D390" i="10"/>
  <c r="D349" i="10"/>
  <c r="D382" i="10"/>
  <c r="D363" i="10"/>
  <c r="D325" i="10"/>
  <c r="D344" i="10"/>
  <c r="D347" i="10"/>
  <c r="D369" i="10"/>
  <c r="D374" i="10"/>
  <c r="D362" i="10"/>
  <c r="D361" i="10"/>
  <c r="D366" i="10"/>
  <c r="D348" i="10"/>
  <c r="D144" i="10"/>
  <c r="D145" i="10"/>
  <c r="D143" i="10"/>
  <c r="D148" i="10"/>
  <c r="D141" i="10"/>
  <c r="D147" i="10"/>
  <c r="D142" i="10"/>
  <c r="D146" i="10"/>
  <c r="D140" i="10"/>
  <c r="D138" i="10"/>
  <c r="D137" i="10"/>
  <c r="D139" i="10"/>
  <c r="D136" i="10"/>
  <c r="D133" i="10"/>
  <c r="D128" i="10"/>
  <c r="D126" i="10"/>
  <c r="D135" i="10"/>
  <c r="D127" i="10"/>
  <c r="D123" i="10"/>
  <c r="D134" i="10"/>
  <c r="D132" i="10"/>
  <c r="D131" i="10"/>
  <c r="D125" i="10"/>
  <c r="D130" i="10"/>
  <c r="D129" i="10"/>
  <c r="D124" i="10"/>
  <c r="D112" i="10"/>
  <c r="D115" i="10"/>
  <c r="D119" i="10"/>
  <c r="D117" i="10"/>
  <c r="D121" i="10"/>
  <c r="D114" i="10"/>
  <c r="D118" i="10"/>
  <c r="D105" i="10"/>
  <c r="D106" i="10"/>
  <c r="D108" i="10"/>
  <c r="D107" i="10"/>
  <c r="D116" i="10"/>
  <c r="D113" i="10"/>
  <c r="D111" i="10"/>
  <c r="D110" i="10"/>
  <c r="D109" i="10"/>
  <c r="D120" i="10"/>
  <c r="D98" i="10"/>
  <c r="D102" i="10"/>
  <c r="D101" i="10"/>
  <c r="D100" i="10"/>
  <c r="D103" i="10"/>
  <c r="D99" i="10"/>
  <c r="D104" i="10"/>
  <c r="D97" i="10"/>
  <c r="D68" i="10"/>
  <c r="D122" i="10"/>
  <c r="D81" i="10"/>
  <c r="D95" i="10"/>
  <c r="D72" i="10"/>
  <c r="D85" i="10"/>
  <c r="D92" i="10"/>
  <c r="D88" i="10"/>
  <c r="D89" i="10"/>
  <c r="D86" i="10"/>
  <c r="D91" i="10"/>
  <c r="D84" i="10"/>
  <c r="D62" i="10"/>
  <c r="D63" i="10"/>
  <c r="D96" i="10"/>
  <c r="D64" i="10"/>
  <c r="D82" i="10"/>
  <c r="D71" i="10"/>
  <c r="D93" i="10"/>
  <c r="D70" i="10"/>
  <c r="D90" i="10"/>
  <c r="D87" i="10"/>
  <c r="D83" i="10"/>
  <c r="D78" i="10"/>
  <c r="D77" i="10"/>
  <c r="D76" i="10"/>
  <c r="D75" i="10"/>
  <c r="D74" i="10"/>
  <c r="D69" i="10"/>
  <c r="D67" i="10"/>
  <c r="D73" i="10"/>
  <c r="D66" i="10"/>
  <c r="D61" i="10"/>
  <c r="D94" i="10"/>
  <c r="D65" i="10"/>
  <c r="D80" i="10"/>
  <c r="D79" i="10"/>
  <c r="D60" i="10"/>
  <c r="D58" i="10"/>
  <c r="D57" i="10"/>
  <c r="D55" i="10"/>
  <c r="D59" i="10"/>
  <c r="D56" i="10"/>
  <c r="D52" i="10"/>
  <c r="D54" i="10"/>
  <c r="D53" i="10"/>
  <c r="D51" i="10"/>
  <c r="D45" i="10"/>
  <c r="D41" i="10"/>
  <c r="D43" i="10"/>
  <c r="D47" i="10"/>
  <c r="D48" i="10"/>
  <c r="D44" i="10"/>
  <c r="D42" i="10"/>
  <c r="D49" i="10"/>
  <c r="D40" i="10"/>
  <c r="D46" i="10"/>
  <c r="D39" i="10"/>
  <c r="D38" i="10"/>
  <c r="D50" i="10"/>
  <c r="D37" i="10"/>
  <c r="D25" i="10"/>
  <c r="D22" i="10"/>
  <c r="D35" i="10"/>
  <c r="D36" i="10"/>
  <c r="D32" i="10"/>
  <c r="D31" i="10"/>
  <c r="D27" i="10"/>
  <c r="D33" i="10"/>
  <c r="D34" i="10"/>
  <c r="D30" i="10"/>
  <c r="D29" i="10"/>
  <c r="D28" i="10"/>
  <c r="D26" i="10"/>
  <c r="D24" i="10"/>
  <c r="D23" i="10"/>
  <c r="D21" i="10"/>
  <c r="D20" i="10"/>
  <c r="D12" i="10"/>
  <c r="D19" i="10"/>
  <c r="D14" i="10"/>
  <c r="D18" i="10"/>
  <c r="D11" i="10"/>
  <c r="D17" i="10"/>
  <c r="D9" i="10"/>
  <c r="D10" i="10"/>
  <c r="D4" i="10"/>
  <c r="D16" i="10"/>
  <c r="D13" i="10"/>
  <c r="D15" i="10"/>
  <c r="D8" i="10"/>
  <c r="D7" i="10"/>
  <c r="D6" i="10"/>
  <c r="D5" i="10"/>
  <c r="D3" i="10"/>
  <c r="D221" i="3"/>
  <c r="D220" i="3"/>
  <c r="D239" i="3"/>
  <c r="D227" i="3"/>
  <c r="D226" i="3"/>
  <c r="D245" i="3"/>
  <c r="D222" i="3"/>
  <c r="D241" i="3"/>
  <c r="D237" i="3"/>
  <c r="D249" i="3"/>
  <c r="D238" i="3"/>
  <c r="D243" i="3"/>
  <c r="D248" i="3"/>
  <c r="D236" i="3"/>
  <c r="D209" i="3"/>
  <c r="D244" i="3"/>
  <c r="D233" i="3"/>
  <c r="D247" i="3"/>
  <c r="D240" i="3"/>
  <c r="D229" i="3"/>
  <c r="D223" i="3"/>
  <c r="D219" i="3"/>
  <c r="D218" i="3"/>
  <c r="D232" i="3"/>
  <c r="D217" i="3"/>
  <c r="D230" i="3"/>
  <c r="D235" i="3"/>
  <c r="D216" i="3"/>
  <c r="D251" i="3"/>
  <c r="D215" i="3"/>
  <c r="D242" i="3"/>
  <c r="D214" i="3"/>
  <c r="D250" i="3"/>
  <c r="D246" i="3"/>
  <c r="D234" i="3"/>
  <c r="D213" i="3"/>
  <c r="D208" i="3"/>
  <c r="D212" i="3"/>
  <c r="D207" i="3"/>
  <c r="D224" i="3"/>
  <c r="D206" i="3"/>
  <c r="D211" i="3"/>
  <c r="D205" i="3"/>
  <c r="D225" i="3"/>
  <c r="D210" i="3"/>
  <c r="D231" i="3"/>
  <c r="D228" i="3"/>
  <c r="D204" i="3"/>
  <c r="D172" i="3"/>
  <c r="D193" i="3"/>
  <c r="D186" i="3"/>
  <c r="D169" i="3"/>
  <c r="D171" i="3"/>
  <c r="D191" i="3"/>
  <c r="D170" i="3"/>
  <c r="D180" i="3"/>
  <c r="D184" i="3"/>
  <c r="D202" i="3"/>
  <c r="D181" i="3"/>
  <c r="D182" i="3"/>
  <c r="D188" i="3"/>
  <c r="D200" i="3"/>
  <c r="D185" i="3"/>
  <c r="D190" i="3"/>
  <c r="D183" i="3"/>
  <c r="D199" i="3"/>
  <c r="D198" i="3"/>
  <c r="D152" i="3"/>
  <c r="D192" i="3"/>
  <c r="D168" i="3"/>
  <c r="D197" i="3"/>
  <c r="D196" i="3"/>
  <c r="D167" i="3"/>
  <c r="D151" i="3"/>
  <c r="D166" i="3"/>
  <c r="D165" i="3"/>
  <c r="D164" i="3"/>
  <c r="D174" i="3"/>
  <c r="D163" i="3"/>
  <c r="D162" i="3"/>
  <c r="D187" i="3"/>
  <c r="D161" i="3"/>
  <c r="D179" i="3"/>
  <c r="D160" i="3"/>
  <c r="D203" i="3"/>
  <c r="D159" i="3"/>
  <c r="D158" i="3"/>
  <c r="D189" i="3"/>
  <c r="D173" i="3"/>
  <c r="D194" i="3"/>
  <c r="D201" i="3"/>
  <c r="D195" i="3"/>
  <c r="D157" i="3"/>
  <c r="D156" i="3"/>
  <c r="D178" i="3"/>
  <c r="D155" i="3"/>
  <c r="D150" i="3"/>
  <c r="D154" i="3"/>
  <c r="D175" i="3"/>
  <c r="D176" i="3"/>
  <c r="D149" i="3"/>
  <c r="D177" i="3"/>
  <c r="D153" i="3"/>
  <c r="D522" i="3"/>
  <c r="D542" i="3"/>
  <c r="D519" i="3"/>
  <c r="D520" i="3"/>
  <c r="D538" i="3"/>
  <c r="D517" i="3"/>
  <c r="D537" i="3"/>
  <c r="D535" i="3"/>
  <c r="D518" i="3"/>
  <c r="D545" i="3"/>
  <c r="D547" i="3"/>
  <c r="D529" i="3"/>
  <c r="D534" i="3"/>
  <c r="D551" i="3"/>
  <c r="D541" i="3"/>
  <c r="D527" i="3"/>
  <c r="D526" i="3"/>
  <c r="D516" i="3"/>
  <c r="D525" i="3"/>
  <c r="D521" i="3"/>
  <c r="D536" i="3"/>
  <c r="D553" i="3"/>
  <c r="D550" i="3"/>
  <c r="D549" i="3"/>
  <c r="D548" i="3"/>
  <c r="D546" i="3"/>
  <c r="D523" i="3"/>
  <c r="D543" i="3"/>
  <c r="D513" i="3"/>
  <c r="D515" i="3"/>
  <c r="D540" i="3"/>
  <c r="D531" i="3"/>
  <c r="D530" i="3"/>
  <c r="D512" i="3"/>
  <c r="D514" i="3"/>
  <c r="D533" i="3"/>
  <c r="D524" i="3"/>
  <c r="D528" i="3"/>
  <c r="D511" i="3"/>
  <c r="D555" i="3"/>
  <c r="D552" i="3"/>
  <c r="D539" i="3"/>
  <c r="D544" i="3"/>
  <c r="D554" i="3"/>
  <c r="D485" i="3"/>
  <c r="D505" i="3"/>
  <c r="D510" i="3"/>
  <c r="D484" i="3"/>
  <c r="D498" i="3"/>
  <c r="D486" i="3"/>
  <c r="D506" i="3"/>
  <c r="D501" i="3"/>
  <c r="D491" i="3"/>
  <c r="D497" i="3"/>
  <c r="D504" i="3"/>
  <c r="D489" i="3"/>
  <c r="D488" i="3"/>
  <c r="D483" i="3"/>
  <c r="D487" i="3"/>
  <c r="D500" i="3"/>
  <c r="D508" i="3"/>
  <c r="D507" i="3"/>
  <c r="D499" i="3"/>
  <c r="D503" i="3"/>
  <c r="D502" i="3"/>
  <c r="D482" i="3"/>
  <c r="D481" i="3"/>
  <c r="D496" i="3"/>
  <c r="D492" i="3"/>
  <c r="D494" i="3"/>
  <c r="D509" i="3"/>
  <c r="D480" i="3"/>
  <c r="D495" i="3"/>
  <c r="D479" i="3"/>
  <c r="D493" i="3"/>
  <c r="D490" i="3"/>
  <c r="D306" i="3"/>
  <c r="D286" i="3"/>
  <c r="D310" i="3"/>
  <c r="D285" i="3"/>
  <c r="D303" i="3"/>
  <c r="D290" i="3"/>
  <c r="D311" i="3"/>
  <c r="D302" i="3"/>
  <c r="D301" i="3"/>
  <c r="D297" i="3"/>
  <c r="D300" i="3"/>
  <c r="D280" i="3"/>
  <c r="D295" i="3"/>
  <c r="D293" i="3"/>
  <c r="D292" i="3"/>
  <c r="D291" i="3"/>
  <c r="D289" i="3"/>
  <c r="D288" i="3"/>
  <c r="D304" i="3"/>
  <c r="D287" i="3"/>
  <c r="D308" i="3"/>
  <c r="D305" i="3"/>
  <c r="D278" i="3"/>
  <c r="D294" i="3"/>
  <c r="D284" i="3"/>
  <c r="D282" i="3"/>
  <c r="D283" i="3"/>
  <c r="D299" i="3"/>
  <c r="D298" i="3"/>
  <c r="D281" i="3"/>
  <c r="D279" i="3"/>
  <c r="D307" i="3"/>
  <c r="D277" i="3"/>
  <c r="D309" i="3"/>
  <c r="D269" i="3"/>
  <c r="D264" i="3"/>
  <c r="D258" i="3"/>
  <c r="D270" i="3"/>
  <c r="D257" i="3"/>
  <c r="D261" i="3"/>
  <c r="D271" i="3"/>
  <c r="D256" i="3"/>
  <c r="D259" i="3"/>
  <c r="D275" i="3"/>
  <c r="D255" i="3"/>
  <c r="D267" i="3"/>
  <c r="D254" i="3"/>
  <c r="D260" i="3"/>
  <c r="D276" i="3"/>
  <c r="D265" i="3"/>
  <c r="D263" i="3"/>
  <c r="D262" i="3"/>
  <c r="D272" i="3"/>
  <c r="D274" i="3"/>
  <c r="D253" i="3"/>
  <c r="D273" i="3"/>
  <c r="D268" i="3"/>
  <c r="D252" i="3"/>
  <c r="D471" i="3"/>
  <c r="D436" i="3"/>
  <c r="D405" i="3"/>
  <c r="D396" i="3"/>
  <c r="D433" i="3"/>
  <c r="D417" i="3"/>
  <c r="D427" i="3"/>
  <c r="D475" i="3"/>
  <c r="D404" i="3"/>
  <c r="D457" i="3"/>
  <c r="D424" i="3"/>
  <c r="D398" i="3"/>
  <c r="D443" i="3"/>
  <c r="D423" i="3"/>
  <c r="D473" i="3"/>
  <c r="D403" i="3"/>
  <c r="D470" i="3"/>
  <c r="D468" i="3"/>
  <c r="D410" i="3"/>
  <c r="D416" i="3"/>
  <c r="D449" i="3"/>
  <c r="D435" i="3"/>
  <c r="D422" i="3"/>
  <c r="D408" i="3"/>
  <c r="D467" i="3"/>
  <c r="D477" i="3"/>
  <c r="D401" i="3"/>
  <c r="D474" i="3"/>
  <c r="D399" i="3"/>
  <c r="D412" i="3"/>
  <c r="D407" i="3"/>
  <c r="D420" i="3"/>
  <c r="D466" i="3"/>
  <c r="D476" i="3"/>
  <c r="D441" i="3"/>
  <c r="D413" i="3"/>
  <c r="D409" i="3"/>
  <c r="D472" i="3"/>
  <c r="D402" i="3"/>
  <c r="D469" i="3"/>
  <c r="D444" i="3"/>
  <c r="D411" i="3"/>
  <c r="D400" i="3"/>
  <c r="D453" i="3"/>
  <c r="D456" i="3"/>
  <c r="D431" i="3"/>
  <c r="D455" i="3"/>
  <c r="D429" i="3"/>
  <c r="D461" i="3"/>
  <c r="D428" i="3"/>
  <c r="D459" i="3"/>
  <c r="D418" i="3"/>
  <c r="D434" i="3"/>
  <c r="D465" i="3"/>
  <c r="D438" i="3"/>
  <c r="D430" i="3"/>
  <c r="D451" i="3"/>
  <c r="D458" i="3"/>
  <c r="D462" i="3"/>
  <c r="D460" i="3"/>
  <c r="D464" i="3"/>
  <c r="D425" i="3"/>
  <c r="D414" i="3"/>
  <c r="D442" i="3"/>
  <c r="D445" i="3"/>
  <c r="D454" i="3"/>
  <c r="D432" i="3"/>
  <c r="D440" i="3"/>
  <c r="D439" i="3"/>
  <c r="D426" i="3"/>
  <c r="D463" i="3"/>
  <c r="D421" i="3"/>
  <c r="D419" i="3"/>
  <c r="D415" i="3"/>
  <c r="D406" i="3"/>
  <c r="D452" i="3"/>
  <c r="D450" i="3"/>
  <c r="D447" i="3"/>
  <c r="D446" i="3"/>
  <c r="D448" i="3"/>
  <c r="D437" i="3"/>
  <c r="D372" i="3"/>
  <c r="D352" i="3"/>
  <c r="D328" i="3"/>
  <c r="D312" i="3"/>
  <c r="D318" i="3"/>
  <c r="D341" i="3"/>
  <c r="D351" i="3"/>
  <c r="D392" i="3"/>
  <c r="D323" i="3"/>
  <c r="D320" i="3"/>
  <c r="D346" i="3"/>
  <c r="D385" i="3"/>
  <c r="D322" i="3"/>
  <c r="D389" i="3"/>
  <c r="D386" i="3"/>
  <c r="D327" i="3"/>
  <c r="D340" i="3"/>
  <c r="D338" i="3"/>
  <c r="D345" i="3"/>
  <c r="D332" i="3"/>
  <c r="D393" i="3"/>
  <c r="D319" i="3"/>
  <c r="D350" i="3"/>
  <c r="D391" i="3"/>
  <c r="D316" i="3"/>
  <c r="D326" i="3"/>
  <c r="D321" i="3"/>
  <c r="D313" i="3"/>
  <c r="D343" i="3"/>
  <c r="D381" i="3"/>
  <c r="D331" i="3"/>
  <c r="D330" i="3"/>
  <c r="D388" i="3"/>
  <c r="D478" i="3"/>
  <c r="D387" i="3"/>
  <c r="D342" i="3"/>
  <c r="D329" i="3"/>
  <c r="D339" i="3"/>
  <c r="D317" i="3"/>
  <c r="D337" i="3"/>
  <c r="D360" i="3"/>
  <c r="D365" i="3"/>
  <c r="D356" i="3"/>
  <c r="D364" i="3"/>
  <c r="D355" i="3"/>
  <c r="D336" i="3"/>
  <c r="D377" i="3"/>
  <c r="D359" i="3"/>
  <c r="D384" i="3"/>
  <c r="D335" i="3"/>
  <c r="D371" i="3"/>
  <c r="D354" i="3"/>
  <c r="D368" i="3"/>
  <c r="D383" i="3"/>
  <c r="D333" i="3"/>
  <c r="D370" i="3"/>
  <c r="D376" i="3"/>
  <c r="D367" i="3"/>
  <c r="D373" i="3"/>
  <c r="D357" i="3"/>
  <c r="D375" i="3"/>
  <c r="D353" i="3"/>
  <c r="D358" i="3"/>
  <c r="D390" i="3"/>
  <c r="D349" i="3"/>
  <c r="D382" i="3"/>
  <c r="D363" i="3"/>
  <c r="D325" i="3"/>
  <c r="D344" i="3"/>
  <c r="D347" i="3"/>
  <c r="D369" i="3"/>
  <c r="D374" i="3"/>
  <c r="D362" i="3"/>
  <c r="D361" i="3"/>
  <c r="D366" i="3"/>
  <c r="D348" i="3"/>
  <c r="D144" i="3"/>
  <c r="D145" i="3"/>
  <c r="D143" i="3"/>
  <c r="D148" i="3"/>
  <c r="D141" i="3"/>
  <c r="D147" i="3"/>
  <c r="D142" i="3"/>
  <c r="D146" i="3"/>
  <c r="D140" i="3"/>
  <c r="D138" i="3"/>
  <c r="D137" i="3"/>
  <c r="D139" i="3"/>
  <c r="D136" i="3"/>
  <c r="D133" i="3"/>
  <c r="D128" i="3"/>
  <c r="D126" i="3"/>
  <c r="D135" i="3"/>
  <c r="D127" i="3"/>
  <c r="D123" i="3"/>
  <c r="D134" i="3"/>
  <c r="D132" i="3"/>
  <c r="D131" i="3"/>
  <c r="D125" i="3"/>
  <c r="D130" i="3"/>
  <c r="D129" i="3"/>
  <c r="D124" i="3"/>
  <c r="D112" i="3"/>
  <c r="D115" i="3"/>
  <c r="D119" i="3"/>
  <c r="D117" i="3"/>
  <c r="D121" i="3"/>
  <c r="D114" i="3"/>
  <c r="D118" i="3"/>
  <c r="D105" i="3"/>
  <c r="D106" i="3"/>
  <c r="D108" i="3"/>
  <c r="D107" i="3"/>
  <c r="D116" i="3"/>
  <c r="D113" i="3"/>
  <c r="D111" i="3"/>
  <c r="D110" i="3"/>
  <c r="D109" i="3"/>
  <c r="D120" i="3"/>
  <c r="D98" i="3"/>
  <c r="D102" i="3"/>
  <c r="D101" i="3"/>
  <c r="D100" i="3"/>
  <c r="D103" i="3"/>
  <c r="D99" i="3"/>
  <c r="D104" i="3"/>
  <c r="D97" i="3"/>
  <c r="D68" i="3"/>
  <c r="D122" i="3"/>
  <c r="D81" i="3"/>
  <c r="D95" i="3"/>
  <c r="D72" i="3"/>
  <c r="D85" i="3"/>
  <c r="D92" i="3"/>
  <c r="D88" i="3"/>
  <c r="D89" i="3"/>
  <c r="D86" i="3"/>
  <c r="D91" i="3"/>
  <c r="D84" i="3"/>
  <c r="D62" i="3"/>
  <c r="D63" i="3"/>
  <c r="D96" i="3"/>
  <c r="D64" i="3"/>
  <c r="D82" i="3"/>
  <c r="D71" i="3"/>
  <c r="D93" i="3"/>
  <c r="D70" i="3"/>
  <c r="D90" i="3"/>
  <c r="D87" i="3"/>
  <c r="D83" i="3"/>
  <c r="D78" i="3"/>
  <c r="D77" i="3"/>
  <c r="D76" i="3"/>
  <c r="D75" i="3"/>
  <c r="D74" i="3"/>
  <c r="D69" i="3"/>
  <c r="D67" i="3"/>
  <c r="D73" i="3"/>
  <c r="D66" i="3"/>
  <c r="D61" i="3"/>
  <c r="D94" i="3"/>
  <c r="D65" i="3"/>
  <c r="D80" i="3"/>
  <c r="D79" i="3"/>
  <c r="D60" i="3"/>
  <c r="D58" i="3"/>
  <c r="D57" i="3"/>
  <c r="D55" i="3"/>
  <c r="D59" i="3"/>
  <c r="D56" i="3"/>
  <c r="D52" i="3"/>
  <c r="D54" i="3"/>
  <c r="D53" i="3"/>
  <c r="D51" i="3"/>
  <c r="D45" i="3"/>
  <c r="D41" i="3"/>
  <c r="D43" i="3"/>
  <c r="D47" i="3"/>
  <c r="D48" i="3"/>
  <c r="D44" i="3"/>
  <c r="D42" i="3"/>
  <c r="D49" i="3"/>
  <c r="D40" i="3"/>
  <c r="D46" i="3"/>
  <c r="D39" i="3"/>
  <c r="D38" i="3"/>
  <c r="D50" i="3"/>
  <c r="D37" i="3"/>
  <c r="D25" i="3"/>
  <c r="D22" i="3"/>
  <c r="D35" i="3"/>
  <c r="D36" i="3"/>
  <c r="D32" i="3"/>
  <c r="D31" i="3"/>
  <c r="D27" i="3"/>
  <c r="D33" i="3"/>
  <c r="D34" i="3"/>
  <c r="D30" i="3"/>
  <c r="D29" i="3"/>
  <c r="D28" i="3"/>
  <c r="D26" i="3"/>
  <c r="D24" i="3"/>
  <c r="D23" i="3"/>
  <c r="D21" i="3"/>
  <c r="D20" i="3"/>
  <c r="D12" i="3"/>
  <c r="D19" i="3"/>
  <c r="D14" i="3"/>
  <c r="D18" i="3"/>
  <c r="D11" i="3"/>
  <c r="D17" i="3"/>
  <c r="D9" i="3"/>
  <c r="D10" i="3"/>
  <c r="D4" i="3"/>
  <c r="D16" i="3"/>
  <c r="D13" i="3"/>
  <c r="D15" i="3"/>
  <c r="D8" i="3"/>
  <c r="D7" i="3"/>
  <c r="D6" i="3"/>
  <c r="D5" i="3"/>
  <c r="D3" i="3"/>
  <c r="D234" i="12"/>
  <c r="D233" i="12"/>
  <c r="D241" i="12"/>
  <c r="D232" i="12"/>
  <c r="D231" i="12"/>
  <c r="D245" i="12"/>
  <c r="D230" i="12"/>
  <c r="D240" i="12"/>
  <c r="D239" i="12"/>
  <c r="D251" i="12"/>
  <c r="D238" i="12"/>
  <c r="D244" i="12"/>
  <c r="D250" i="12"/>
  <c r="D237" i="12"/>
  <c r="D229" i="12"/>
  <c r="D243" i="12"/>
  <c r="D228" i="12"/>
  <c r="D249" i="12"/>
  <c r="D236" i="12"/>
  <c r="D227" i="12"/>
  <c r="D226" i="12"/>
  <c r="D225" i="12"/>
  <c r="D224" i="12"/>
  <c r="D223" i="12"/>
  <c r="D222" i="12"/>
  <c r="D221" i="12"/>
  <c r="D235" i="12"/>
  <c r="D220" i="12"/>
  <c r="D248" i="12"/>
  <c r="D219" i="12"/>
  <c r="D242" i="12"/>
  <c r="D218" i="12"/>
  <c r="D247" i="12"/>
  <c r="D246" i="12"/>
  <c r="D217" i="12"/>
  <c r="D216" i="12"/>
  <c r="D215" i="12"/>
  <c r="D214" i="12"/>
  <c r="D213" i="12"/>
  <c r="D212" i="12"/>
  <c r="D211" i="12"/>
  <c r="D210" i="12"/>
  <c r="D209" i="12"/>
  <c r="D208" i="12"/>
  <c r="D207" i="12"/>
  <c r="D206" i="12"/>
  <c r="D205" i="12"/>
  <c r="D204" i="12"/>
  <c r="D178" i="12"/>
  <c r="D194" i="12"/>
  <c r="D186" i="12"/>
  <c r="D177" i="12"/>
  <c r="D176" i="12"/>
  <c r="D193" i="12"/>
  <c r="D175" i="12"/>
  <c r="D185" i="12"/>
  <c r="D184" i="12"/>
  <c r="D203" i="12"/>
  <c r="D183" i="12"/>
  <c r="D182" i="12"/>
  <c r="D192" i="12"/>
  <c r="D202" i="12"/>
  <c r="D180" i="12"/>
  <c r="D201" i="12"/>
  <c r="D200" i="12"/>
  <c r="D174" i="12"/>
  <c r="D190" i="12"/>
  <c r="D173" i="12"/>
  <c r="D199" i="12"/>
  <c r="D198" i="12"/>
  <c r="D172" i="12"/>
  <c r="D171" i="12"/>
  <c r="D170" i="12"/>
  <c r="D169" i="12"/>
  <c r="D168" i="12"/>
  <c r="D167" i="12"/>
  <c r="D165" i="12"/>
  <c r="D189" i="12"/>
  <c r="D164" i="12"/>
  <c r="D179" i="12"/>
  <c r="D163" i="12"/>
  <c r="D197" i="12"/>
  <c r="D162" i="12"/>
  <c r="D161" i="12"/>
  <c r="D188" i="12"/>
  <c r="D187" i="12"/>
  <c r="D196" i="12"/>
  <c r="D195" i="12"/>
  <c r="D159" i="12"/>
  <c r="D158" i="12"/>
  <c r="D157" i="12"/>
  <c r="D156" i="12"/>
  <c r="D155" i="12"/>
  <c r="D154" i="12"/>
  <c r="D151" i="12"/>
  <c r="D150" i="12"/>
  <c r="D149" i="12"/>
  <c r="D555" i="12"/>
  <c r="D522" i="12"/>
  <c r="D554" i="12"/>
  <c r="D521" i="12"/>
  <c r="D553" i="12"/>
  <c r="D552" i="12"/>
  <c r="D520" i="12"/>
  <c r="D551" i="12"/>
  <c r="D550" i="12"/>
  <c r="D532" i="12"/>
  <c r="D549" i="12"/>
  <c r="D519" i="12"/>
  <c r="D548" i="12"/>
  <c r="D547" i="12"/>
  <c r="D531" i="12"/>
  <c r="D530" i="12"/>
  <c r="D518" i="12"/>
  <c r="D529" i="12"/>
  <c r="D517" i="12"/>
  <c r="D546" i="12"/>
  <c r="D545" i="12"/>
  <c r="D544" i="12"/>
  <c r="D543" i="12"/>
  <c r="D542" i="12"/>
  <c r="D541" i="12"/>
  <c r="D516" i="12"/>
  <c r="D540" i="12"/>
  <c r="D515" i="12"/>
  <c r="D514" i="12"/>
  <c r="D539" i="12"/>
  <c r="D528" i="12"/>
  <c r="D527" i="12"/>
  <c r="D513" i="12"/>
  <c r="D512" i="12"/>
  <c r="D538" i="12"/>
  <c r="D526" i="12"/>
  <c r="D525" i="12"/>
  <c r="D511" i="12"/>
  <c r="D537" i="12"/>
  <c r="D536" i="12"/>
  <c r="D535" i="12"/>
  <c r="D534" i="12"/>
  <c r="D533" i="12"/>
  <c r="D510" i="12"/>
  <c r="D509" i="12"/>
  <c r="D486" i="12"/>
  <c r="D508" i="12"/>
  <c r="D485" i="12"/>
  <c r="D507" i="12"/>
  <c r="D506" i="12"/>
  <c r="D494" i="12"/>
  <c r="D505" i="12"/>
  <c r="D484" i="12"/>
  <c r="D504" i="12"/>
  <c r="D493" i="12"/>
  <c r="D492" i="12"/>
  <c r="D483" i="12"/>
  <c r="D491" i="12"/>
  <c r="D503" i="12"/>
  <c r="D502" i="12"/>
  <c r="D501" i="12"/>
  <c r="D500" i="12"/>
  <c r="D499" i="12"/>
  <c r="D498" i="12"/>
  <c r="D482" i="12"/>
  <c r="D481" i="12"/>
  <c r="D497" i="12"/>
  <c r="D490" i="12"/>
  <c r="D489" i="12"/>
  <c r="D496" i="12"/>
  <c r="D480" i="12"/>
  <c r="D495" i="12"/>
  <c r="D479" i="12"/>
  <c r="D488" i="12"/>
  <c r="D487" i="12"/>
  <c r="D306" i="12"/>
  <c r="D296" i="12"/>
  <c r="D311" i="12"/>
  <c r="D295" i="12"/>
  <c r="D305" i="12"/>
  <c r="D294" i="12"/>
  <c r="D310" i="12"/>
  <c r="D304" i="12"/>
  <c r="D303" i="12"/>
  <c r="D302" i="12"/>
  <c r="D301" i="12"/>
  <c r="D292" i="12"/>
  <c r="D291" i="12"/>
  <c r="D290" i="12"/>
  <c r="D289" i="12"/>
  <c r="D288" i="12"/>
  <c r="D287" i="12"/>
  <c r="D286" i="12"/>
  <c r="D300" i="12"/>
  <c r="D285" i="12"/>
  <c r="D309" i="12"/>
  <c r="D299" i="12"/>
  <c r="D284" i="12"/>
  <c r="D283" i="12"/>
  <c r="D282" i="12"/>
  <c r="D281" i="12"/>
  <c r="D280" i="12"/>
  <c r="D298" i="12"/>
  <c r="D297" i="12"/>
  <c r="D279" i="12"/>
  <c r="D278" i="12"/>
  <c r="D308" i="12"/>
  <c r="D277" i="12"/>
  <c r="D307" i="12"/>
  <c r="D272" i="12"/>
  <c r="D266" i="12"/>
  <c r="D265" i="12"/>
  <c r="D271" i="12"/>
  <c r="D264" i="12"/>
  <c r="D263" i="12"/>
  <c r="D270" i="12"/>
  <c r="D262" i="12"/>
  <c r="D261" i="12"/>
  <c r="D276" i="12"/>
  <c r="D259" i="12"/>
  <c r="D269" i="12"/>
  <c r="D258" i="12"/>
  <c r="D257" i="12"/>
  <c r="D275" i="12"/>
  <c r="D256" i="12"/>
  <c r="D255" i="12"/>
  <c r="D254" i="12"/>
  <c r="D268" i="12"/>
  <c r="D274" i="12"/>
  <c r="D253" i="12"/>
  <c r="D273" i="12"/>
  <c r="D267" i="12"/>
  <c r="D252" i="12"/>
  <c r="D474" i="12"/>
  <c r="D463" i="12"/>
  <c r="D415" i="12"/>
  <c r="D398" i="12"/>
  <c r="D462" i="12"/>
  <c r="D461" i="12"/>
  <c r="D460" i="12"/>
  <c r="D478" i="12"/>
  <c r="D405" i="12"/>
  <c r="D459" i="12"/>
  <c r="D458" i="12"/>
  <c r="D402" i="12"/>
  <c r="D457" i="12"/>
  <c r="D456" i="12"/>
  <c r="D473" i="12"/>
  <c r="D404" i="12"/>
  <c r="D472" i="12"/>
  <c r="D471" i="12"/>
  <c r="D414" i="12"/>
  <c r="D455" i="12"/>
  <c r="D454" i="12"/>
  <c r="D453" i="12"/>
  <c r="D452" i="12"/>
  <c r="D413" i="12"/>
  <c r="D468" i="12"/>
  <c r="D477" i="12"/>
  <c r="D401" i="12"/>
  <c r="D476" i="12"/>
  <c r="D400" i="12"/>
  <c r="D412" i="12"/>
  <c r="D411" i="12"/>
  <c r="D451" i="12"/>
  <c r="D467" i="12"/>
  <c r="D475" i="12"/>
  <c r="D450" i="12"/>
  <c r="D410" i="12"/>
  <c r="D409" i="12"/>
  <c r="D470" i="12"/>
  <c r="D403" i="12"/>
  <c r="D469" i="12"/>
  <c r="D449" i="12"/>
  <c r="D408" i="12"/>
  <c r="D399" i="12"/>
  <c r="D448" i="12"/>
  <c r="D447" i="12"/>
  <c r="D446" i="12"/>
  <c r="D445" i="12"/>
  <c r="D444" i="12"/>
  <c r="D443" i="12"/>
  <c r="D442" i="12"/>
  <c r="D441" i="12"/>
  <c r="D440" i="12"/>
  <c r="D439" i="12"/>
  <c r="D466" i="12"/>
  <c r="D438" i="12"/>
  <c r="D437" i="12"/>
  <c r="D436" i="12"/>
  <c r="D435" i="12"/>
  <c r="D434" i="12"/>
  <c r="D433" i="12"/>
  <c r="D465" i="12"/>
  <c r="D432" i="12"/>
  <c r="D407" i="12"/>
  <c r="D431" i="12"/>
  <c r="D430" i="12"/>
  <c r="D429" i="12"/>
  <c r="D428" i="12"/>
  <c r="D427" i="12"/>
  <c r="D426" i="12"/>
  <c r="D425" i="12"/>
  <c r="D464" i="12"/>
  <c r="D424" i="12"/>
  <c r="D423" i="12"/>
  <c r="D422" i="12"/>
  <c r="D406" i="12"/>
  <c r="D421" i="12"/>
  <c r="D420" i="12"/>
  <c r="D419" i="12"/>
  <c r="D418" i="12"/>
  <c r="D417" i="12"/>
  <c r="D416" i="12"/>
  <c r="D381" i="12"/>
  <c r="D380" i="12"/>
  <c r="D335" i="12"/>
  <c r="D315" i="12"/>
  <c r="D321" i="12"/>
  <c r="D379" i="12"/>
  <c r="D378" i="12"/>
  <c r="D396" i="12"/>
  <c r="D324" i="12"/>
  <c r="D320" i="12"/>
  <c r="D377" i="12"/>
  <c r="D391" i="12"/>
  <c r="D323" i="12"/>
  <c r="D390" i="12"/>
  <c r="D334" i="12"/>
  <c r="D376" i="12"/>
  <c r="D375" i="12"/>
  <c r="D374" i="12"/>
  <c r="D333" i="12"/>
  <c r="D394" i="12"/>
  <c r="D319" i="12"/>
  <c r="D372" i="12"/>
  <c r="D393" i="12"/>
  <c r="D318" i="12"/>
  <c r="D331" i="12"/>
  <c r="D317" i="12"/>
  <c r="D312" i="12"/>
  <c r="D371" i="12"/>
  <c r="D385" i="12"/>
  <c r="D330" i="12"/>
  <c r="D329" i="12"/>
  <c r="D388" i="12"/>
  <c r="D322" i="12"/>
  <c r="D387" i="12"/>
  <c r="D369" i="12"/>
  <c r="D328" i="12"/>
  <c r="D368" i="12"/>
  <c r="D316" i="12"/>
  <c r="D367" i="12"/>
  <c r="D366" i="12"/>
  <c r="D365" i="12"/>
  <c r="D364" i="12"/>
  <c r="D363" i="12"/>
  <c r="D362" i="12"/>
  <c r="D361" i="12"/>
  <c r="D360" i="12"/>
  <c r="D359" i="12"/>
  <c r="D384" i="12"/>
  <c r="D358" i="12"/>
  <c r="D357" i="12"/>
  <c r="D356" i="12"/>
  <c r="D355" i="12"/>
  <c r="D383" i="12"/>
  <c r="D327" i="12"/>
  <c r="D354" i="12"/>
  <c r="D353" i="12"/>
  <c r="D352" i="12"/>
  <c r="D350" i="12"/>
  <c r="D349" i="12"/>
  <c r="D348" i="12"/>
  <c r="D347" i="12"/>
  <c r="D346" i="12"/>
  <c r="D386" i="12"/>
  <c r="D345" i="12"/>
  <c r="D382" i="12"/>
  <c r="D344" i="12"/>
  <c r="D326" i="12"/>
  <c r="D343" i="12"/>
  <c r="D342" i="12"/>
  <c r="D341" i="12"/>
  <c r="D340" i="12"/>
  <c r="D339" i="12"/>
  <c r="D338" i="12"/>
  <c r="D337" i="12"/>
  <c r="D336" i="12"/>
  <c r="D144" i="12"/>
  <c r="D148" i="12"/>
  <c r="D143" i="12"/>
  <c r="D147" i="12"/>
  <c r="D142" i="12"/>
  <c r="D146" i="12"/>
  <c r="D141" i="12"/>
  <c r="D145" i="12"/>
  <c r="D140" i="12"/>
  <c r="D138" i="12"/>
  <c r="D137" i="12"/>
  <c r="D139" i="12"/>
  <c r="D136" i="12"/>
  <c r="D135" i="12"/>
  <c r="D134" i="12"/>
  <c r="D127" i="12"/>
  <c r="D133" i="12"/>
  <c r="D126" i="12"/>
  <c r="D125" i="12"/>
  <c r="D132" i="12"/>
  <c r="D131" i="12"/>
  <c r="D130" i="12"/>
  <c r="D124" i="12"/>
  <c r="D129" i="12"/>
  <c r="D128" i="12"/>
  <c r="D123" i="12"/>
  <c r="D118" i="12"/>
  <c r="D117" i="12"/>
  <c r="D119" i="12"/>
  <c r="D116" i="12"/>
  <c r="D121" i="12"/>
  <c r="D115" i="12"/>
  <c r="D114" i="12"/>
  <c r="D105" i="12"/>
  <c r="D113" i="12"/>
  <c r="D112" i="12"/>
  <c r="D111" i="12"/>
  <c r="D110" i="12"/>
  <c r="D109" i="12"/>
  <c r="D108" i="12"/>
  <c r="D107" i="12"/>
  <c r="D106" i="12"/>
  <c r="D120" i="12"/>
  <c r="D98" i="12"/>
  <c r="D102" i="12"/>
  <c r="D101" i="12"/>
  <c r="D100" i="12"/>
  <c r="D103" i="12"/>
  <c r="D99" i="12"/>
  <c r="D104" i="12"/>
  <c r="D97" i="12"/>
  <c r="D90" i="12"/>
  <c r="D122" i="12"/>
  <c r="D89" i="12"/>
  <c r="D96" i="12"/>
  <c r="D88" i="12"/>
  <c r="D87" i="12"/>
  <c r="D93" i="12"/>
  <c r="D86" i="12"/>
  <c r="D85" i="12"/>
  <c r="D84" i="12"/>
  <c r="D91" i="12"/>
  <c r="D83" i="12"/>
  <c r="D64" i="12"/>
  <c r="D63" i="12"/>
  <c r="D95" i="12"/>
  <c r="D62" i="12"/>
  <c r="D82" i="12"/>
  <c r="D92" i="12"/>
  <c r="D80" i="12"/>
  <c r="D79" i="12"/>
  <c r="D81" i="12"/>
  <c r="D78" i="12"/>
  <c r="D77" i="12"/>
  <c r="D76" i="12"/>
  <c r="D75" i="12"/>
  <c r="D74" i="12"/>
  <c r="D73" i="12"/>
  <c r="D72" i="12"/>
  <c r="D71" i="12"/>
  <c r="D70" i="12"/>
  <c r="D69" i="12"/>
  <c r="D68" i="12"/>
  <c r="D61" i="12"/>
  <c r="D94" i="12"/>
  <c r="D67" i="12"/>
  <c r="D66" i="12"/>
  <c r="D65" i="12"/>
  <c r="D60" i="12"/>
  <c r="D58" i="12"/>
  <c r="D57" i="12"/>
  <c r="D56" i="12"/>
  <c r="D59" i="12"/>
  <c r="D55" i="12"/>
  <c r="D52" i="12"/>
  <c r="D54" i="12"/>
  <c r="D53" i="12"/>
  <c r="D51" i="12"/>
  <c r="D46" i="12"/>
  <c r="D45" i="12"/>
  <c r="D44" i="12"/>
  <c r="D49" i="12"/>
  <c r="D48" i="12"/>
  <c r="D43" i="12"/>
  <c r="D42" i="12"/>
  <c r="D47" i="12"/>
  <c r="D41" i="12"/>
  <c r="D40" i="12"/>
  <c r="D39" i="12"/>
  <c r="D38" i="12"/>
  <c r="D50" i="12"/>
  <c r="D37" i="12"/>
  <c r="D36" i="12"/>
  <c r="D33" i="12"/>
  <c r="D31" i="12"/>
  <c r="D30" i="12"/>
  <c r="D32" i="12"/>
  <c r="D34" i="12"/>
  <c r="D28" i="12"/>
  <c r="D27" i="12"/>
  <c r="D26" i="12"/>
  <c r="D25" i="12"/>
  <c r="D24" i="12"/>
  <c r="D23" i="12"/>
  <c r="D22" i="12"/>
  <c r="D21" i="12"/>
  <c r="D20" i="12"/>
  <c r="D14" i="12"/>
  <c r="D18" i="12"/>
  <c r="D17" i="12"/>
  <c r="D10" i="12"/>
  <c r="D9" i="12"/>
  <c r="D8" i="12"/>
  <c r="D16" i="12"/>
  <c r="D13" i="12"/>
  <c r="D15" i="12"/>
  <c r="D7" i="12"/>
  <c r="D6" i="12"/>
  <c r="D5" i="12"/>
  <c r="D4" i="12"/>
  <c r="D3" i="12"/>
</calcChain>
</file>

<file path=xl/sharedStrings.xml><?xml version="1.0" encoding="utf-8"?>
<sst xmlns="http://schemas.openxmlformats.org/spreadsheetml/2006/main" count="19879" uniqueCount="1593">
  <si>
    <t>A/A</t>
  </si>
  <si>
    <t>Δήμος</t>
  </si>
  <si>
    <t>Κατηγορία</t>
  </si>
  <si>
    <t>Περιφερειακή Ενότητα</t>
  </si>
  <si>
    <t>Ονομασία Σχολικής Μονάδας</t>
  </si>
  <si>
    <t>Α'ΘΜΙΑ ΕΚΠΑΙΔΕΥΣΗ</t>
  </si>
  <si>
    <t>ΝΗΠΙΑΓΩΓΕΙΑ 
ΑΡ. ΑΙΘΟΥΣΩΝ</t>
  </si>
  <si>
    <t xml:space="preserve">ΝΗΠΙΑΓΩΓΕΙΑ
ΑΡ. ΝΗΠΙΩΝ </t>
  </si>
  <si>
    <t xml:space="preserve">ΔΗΜΟΤΙΚΑ ΣΧΟΛΕΙΑ 
ΑΡ. ΑΙΘΟΥΣΩΝ </t>
  </si>
  <si>
    <t xml:space="preserve">ΔΗΜΟΤΙΚΑ ΣΧΟΛΕΙΑ 
ΑΡ. ΜΑΘΗΤΩΝ </t>
  </si>
  <si>
    <t>Β'ΘΜΙΑ ΕΚΠΑΙΔΕΥΣΗ</t>
  </si>
  <si>
    <t xml:space="preserve">ΓΥΜΝΑΣΙΑ
ΑΡ. ΑΙΘΟΥΣΩΝ </t>
  </si>
  <si>
    <t xml:space="preserve">ΓΥΜΝΑΣΙΑ
ΑΡ. ΜΑΘΗΤΩΝ </t>
  </si>
  <si>
    <t>ΛΥΚΕΙΑ
ΑΡ. ΤΜΗΜΑΤΩΝ</t>
  </si>
  <si>
    <t xml:space="preserve">ΛΥΚΕΙΑ
ΑΡ. ΜΑΘΗΤΩΝ </t>
  </si>
  <si>
    <t>ΕΠΑΛ
ΑΡ. ΑΙΘΟΥΣΩΝ</t>
  </si>
  <si>
    <t xml:space="preserve">ΕΠΑΛ
ΑΡ. ΜΑΘΗΤΩΝ </t>
  </si>
  <si>
    <t>Δημ. Διαμέρισμα</t>
  </si>
  <si>
    <t xml:space="preserve">ΔΕΔΟΜΕΝΑ </t>
  </si>
  <si>
    <t>ΚΑΤΗΓΟΡΙΑ</t>
  </si>
  <si>
    <t>ΝΗΠΙΑΓΩΓΕΙΟ</t>
  </si>
  <si>
    <t>ΔΗΜΟΤΙΚΟ</t>
  </si>
  <si>
    <t>ΓΥΜΝΑΣΙΟ</t>
  </si>
  <si>
    <t>ΛΥΚΕΙΟ</t>
  </si>
  <si>
    <t>ΠΕΡΙΦΕΡΕΙΑΚΗ ΕΝΟΤΗΤΑ</t>
  </si>
  <si>
    <t>ΑΡΤΑΣ</t>
  </si>
  <si>
    <t>ΘΕΣΠΡΩΤΙΑΣ</t>
  </si>
  <si>
    <t>ΙΩΑΝΝΙΝΩΝ</t>
  </si>
  <si>
    <t>ΠΡΕΒΕΖΑΣ</t>
  </si>
  <si>
    <t>ΙΔΙΟΚΤΗΣΙΑΚΟ</t>
  </si>
  <si>
    <t>ΙΔΙΟΚΤΗΤΟ</t>
  </si>
  <si>
    <t>ΜΙΣΘΩΜΕΝΟ</t>
  </si>
  <si>
    <t>ΜΕΙΚΤΟ</t>
  </si>
  <si>
    <r>
      <t>ΦΕΚ</t>
    </r>
    <r>
      <rPr>
        <b/>
        <i/>
        <vertAlign val="subscript"/>
        <sz val="12"/>
        <color rgb="FF000000"/>
        <rFont val="Calibri"/>
        <family val="2"/>
        <charset val="161"/>
      </rPr>
      <t xml:space="preserve">  </t>
    </r>
    <r>
      <rPr>
        <b/>
        <i/>
        <sz val="12"/>
        <color rgb="FF000000"/>
        <rFont val="Calibri"/>
        <family val="2"/>
        <charset val="161"/>
      </rPr>
      <t>ίδρυσης</t>
    </r>
    <r>
      <rPr>
        <b/>
        <i/>
        <vertAlign val="superscript"/>
        <sz val="14"/>
        <color rgb="FF000000"/>
        <rFont val="Calibri"/>
        <family val="2"/>
        <charset val="161"/>
      </rPr>
      <t>1</t>
    </r>
  </si>
  <si>
    <t>ΚΑΚΗ</t>
  </si>
  <si>
    <t>ΜΕΤΡΙΑ</t>
  </si>
  <si>
    <t>ΚΑΛΗ</t>
  </si>
  <si>
    <t>ΚΑΤΑΣΤΑΣΗ ΚΤΙΡΙΩΝ</t>
  </si>
  <si>
    <t>ΠΡΟΣΒΑΣΙΜΟΤΗΤΑ</t>
  </si>
  <si>
    <t>ΝΑΙ</t>
  </si>
  <si>
    <t>ΌΧΙ</t>
  </si>
  <si>
    <t>ΠΡΟΑΙΡΕΤΙΚΑ !!!!</t>
  </si>
  <si>
    <t>Εξοπλισμός ΤΠΕ</t>
  </si>
  <si>
    <t>ΓΥΜΝΑΣΙΟ ΑΝΩ ΚΑΛΕΝΤΙΝΗΣ</t>
  </si>
  <si>
    <t>ΓΥΜΝΑΣΙΟ ΒΟΥΡΓΑΡΕΛΙΟΥ</t>
  </si>
  <si>
    <t>ΗΜΕΡΗΣΙΟ ΓΥΜΝΑΣΙΟ ΚΟΜΠΟΤΙΟΥ</t>
  </si>
  <si>
    <t>ΓΕΝΙΚΟ ΛΥΚΕΙΟ ΠΑΝΑΓΙΑΣ ΔΙΑΣΕΛΛΟΥ</t>
  </si>
  <si>
    <t>ΗΜΕΡΗΣΙΟ ΓΕΝΙΚΟ ΛΥΚΕΙΟ ΚΟΜΠΟΤΙΟΥ "ΝΙΚΟΛΑΟΣ ΣΚΟΥΦΑΣ"</t>
  </si>
  <si>
    <t>ΑΡΤΑΙΩΝ</t>
  </si>
  <si>
    <t>ΓΕΩΡΓΙΟΥ ΚΑΡΑΪΣΚΑΚΗ</t>
  </si>
  <si>
    <t>ΚΕΝΤΡΙΚΩΝ ΤΖΟΥΜΕΡΚΩΝ</t>
  </si>
  <si>
    <t>ΝΙΚΟΛΑΟΥ ΣΚΟΥΦΑ</t>
  </si>
  <si>
    <t>ΑΝΕΖΑΣ</t>
  </si>
  <si>
    <t>ΑΝΩ ΚΑΛΕΝΤΙΝΗΣ</t>
  </si>
  <si>
    <t>ΒΟΥΡΓΑΡΕΛΙΟΥ</t>
  </si>
  <si>
    <t>ΝΕΟΧΩΡΙΟΥ</t>
  </si>
  <si>
    <t>ΠΕΤΑ</t>
  </si>
  <si>
    <t>ΑΓΝΑΝΤΩΝ</t>
  </si>
  <si>
    <t>ΠΑΝΑΓΙΑΣ ΔΙΑΣΕΛΛΟΥ</t>
  </si>
  <si>
    <t>ΚΟΜΠΟΤΙΟΥ</t>
  </si>
  <si>
    <t>1ο ΗΜΕΡΗΣΙΟ ΓΥΜΝΑΣΙΟ ΑΡΤΑΣ</t>
  </si>
  <si>
    <t>2ο ΗΜΕΡΗΣΙΟ ΓΥΜΝΑΣΙΟ ΑΡΤΑΣ</t>
  </si>
  <si>
    <t>3ο ΓΥΜΝΑΣΙΟ ΑΡΤΑΣ</t>
  </si>
  <si>
    <t>4ο ΗΜΕΡΗΣΙΟ ΓΥΜΝΑΣΙΟ ΑΡΤΑΣ</t>
  </si>
  <si>
    <t>5ο ΗΜΕΡΗΣΙΟ ΓΥΜΝΑΣΙΟ ΑΡΤΑΣ</t>
  </si>
  <si>
    <t>ΓΥΜΝΑΣΙΟ - ΛΥΚΕΙΑΚΕΣ ΤΑΞΕΙΣ ΑΓΝΑΝΤΩΝ</t>
  </si>
  <si>
    <t>ΗΜΕΡΗΣΙΟ ΓΥΜΝΑΣΙΟ ΑΝΕΖΑΣ ΑΡΤΑΣ</t>
  </si>
  <si>
    <t>ΗΜΕΡΗΣΙΟ ΓΥΜΝΑΣΙΟ ΓΡΑΜΜΕΝΙΤΣΑΣ ΑΡΤΑΣ</t>
  </si>
  <si>
    <t>ΗΜΕΡΗΣΙΟ ΓΥΜΝΑΣΙΟ ΝΕΟΧΩΡΙΟΥ ΑΡΤΑΣ</t>
  </si>
  <si>
    <t>ΗΜΕΡΗΣΙΟ ΓΥΜΝΑΣΙΟ ΠΑΝΑΓΙΑΣ ΔΙΑΣΕΛΛΟΥ ΑΡΤΑΣ</t>
  </si>
  <si>
    <t>ΗΜΕΡΗΣΙΟ ΓΥΜΝΑΣΙΟ ΠΕΤΑ</t>
  </si>
  <si>
    <t>ΗΜΕΡΗΣΙΟ ΓΥΜΝΑΣΙΟ ΦΙΛΟΘΕΗΣ ΑΡΤΑΣ</t>
  </si>
  <si>
    <t>ΜΟΥΣΙΚΟ ΣΧΟΛΕΙΟ ΑΡΤΑΣ</t>
  </si>
  <si>
    <t>ΕΕΕΕΚ ΑΡΤΑ - ΕΕΕΕΚ ΑΡΤΑΣ</t>
  </si>
  <si>
    <t>1ο ΕΣΠΕΡΙΝΟ ΕΠΑΛ ΑΡΤΑ - ΕΣΠΕΡΙΝΟ ΕΠΑ.Λ ΑΡΤΑΣ</t>
  </si>
  <si>
    <t>1ο ΗΜΕΡΗΣΙΟ ΕΠΑΛ ΑΡΤΑΣ - ΕΠΑΛ ΑΡΤΑΣ</t>
  </si>
  <si>
    <t>2ο ΗΜΕΡΗΣΙΟ ΓΕΝΙΚΟ ΛΥΚΕΙΟ ΑΡΤΑΣ</t>
  </si>
  <si>
    <t>3ο ΗΜΕΡΗΣΙΟ ΓΕΝΙΚΟ ΛΥΚΕΙΟ ΑΡΤΑΣ</t>
  </si>
  <si>
    <t>ΓΕΝΙΚΟ ΛΥΚΕΙΟ ΒΟΥΡΓΑΡΕΛΙΟΥ</t>
  </si>
  <si>
    <t>ΕΣΠΕΡΙΝΟ ΓΕΝΙΚΟ ΛΥΚΕΙΟ ΑΡΤΑΣ</t>
  </si>
  <si>
    <t>ΗΜΕΡΗΣΙΟ ΓΕΝΙΚΟ ΛΥΚΕΙΟ ΑΝΕΖΑΣ ΑΡΤΑΣ</t>
  </si>
  <si>
    <t>ΗΜΕΡΗΣΙΟ ΓΕΝΙΚΟ ΛΥΚΕΙΟ ΑΝΩ ΚΑΛΕΝΤΙΝΗΣ ΑΡΤΑΣ</t>
  </si>
  <si>
    <t>Ενιαίο Ειδικό Επαγγελματικό Γυμνάσιο - Λύκειο (ΕΝ.Ε.Ε.ΓΥ. - Λ.) Άρτας</t>
  </si>
  <si>
    <t>2ο ΗΜΕΡΗΣΙΟ ΕΠΑΛ ΑΡΤΑΣ - ΕΠΑΛ ΑΡΤΑΣ</t>
  </si>
  <si>
    <t>ΓΥΜΝΑΣΙΟ - ΛΥΚΕΙΟ</t>
  </si>
  <si>
    <t>ΕΕΕΕΚ</t>
  </si>
  <si>
    <t>ΕΠΑΛ</t>
  </si>
  <si>
    <t>ΕΝΕΕΓΥΛ</t>
  </si>
  <si>
    <t xml:space="preserve"> ΓΕΝΙΚΟ ΛΥΚΕΙΟ ΝΕΟΧΩΡΙΟΥ</t>
  </si>
  <si>
    <t>ΕΤΟΣ ΚΑΤΑΣΚΕΥΗΣ</t>
  </si>
  <si>
    <t>ΥΠΑΡΧΕΙ ΟΙΚΟΔΟΜΙΚΗ ΑΔΕΙΑ</t>
  </si>
  <si>
    <t>Όχι</t>
  </si>
  <si>
    <t>?</t>
  </si>
  <si>
    <t>2019-2020</t>
  </si>
  <si>
    <t>2020-2021</t>
  </si>
  <si>
    <t>2021-2022</t>
  </si>
  <si>
    <t>2022-2023</t>
  </si>
  <si>
    <t>2023-2024</t>
  </si>
  <si>
    <t>2024-2025</t>
  </si>
  <si>
    <t>ΜΑΘΗΤΙΚΟ ΔΥΝΑΜΙΚΟ</t>
  </si>
  <si>
    <t>ΔΙΕΥΘΥΝΣΗ ΕΚΠΑΙΔΕΥΣΗΣ</t>
  </si>
  <si>
    <t>ΔΔΕ ΑΡΤΑΣ</t>
  </si>
  <si>
    <t xml:space="preserve">ΕΣΠΕΡΙΝΟ ΓΥΜΝΑΣΙΟ ΑΡΤΑΣ </t>
  </si>
  <si>
    <t>ΗΜΕΡΗΣΙΟ ΓΥΜΝΑΣΙΟ ΚΩΣΤΑΚΙΩΝ ΑΡΤΑΣ</t>
  </si>
  <si>
    <t>1ο ΗΜΕΡΗΣΙΟ ΓΕΝΙΚΟ ΛΥΚΕΙΟ ΑΡΤΑΣ</t>
  </si>
  <si>
    <t xml:space="preserve">4ο ΗΜΕΡΗΣΙΟ ΓΕΝΙΚΟ ΛΥΚΕΙΟ ΑΡΤΑΣ </t>
  </si>
  <si>
    <t>1ο ΗΜΕΡΗΣΙΟ ΓΥΜΝΑΣΙΟ ΗΓΟΥΜΕΝΙΤΣΑΣ</t>
  </si>
  <si>
    <t>1ο ΗΜΕΡΗΣΙΟ ΓΥΜΝΑΣΙΟ ΦΙΛΙΑΤΩΝ ΘΕΣΠΡΩΤΙΑΣ</t>
  </si>
  <si>
    <t>2ο ΗΜΕΡΗΣΙΟ ΓΥΜΝΑΣΙΟ ΗΓΟΥΜΕΝΙΤΣΑΣ</t>
  </si>
  <si>
    <t>3ο ΗΜΕΡΗΣΙΟ ΓΥΜΝΑΣΙΟ ΗΓΟΥΜΕΝΙΤΣΑΣ</t>
  </si>
  <si>
    <t>ΕΝΙΑΙΟ ΕΙΔΙΚΟ ΕΠΑΓΓΕΛΜΑΤΙΚΟ ΓΥΜΝΑΣΙΟ-ΛΥΚΕΙΟ ΗΓΟΥΜΕΝΙΤΣΑΣ</t>
  </si>
  <si>
    <t>ΕΣΠΕΡΙΝΟ ΓΥΜΝΑΣΙΟ ΗΓΟΥΜΕΝΙΤΣΑΣ</t>
  </si>
  <si>
    <t>ΗΜΕΡΗΣΙΟ ΓΥΜΝΑΣΙΟ ΓΑΡΔΙΚΙΟΥ ΘΕΣΠΡΩΤΙΑΣ</t>
  </si>
  <si>
    <t>ΗΜΕΡΗΣΙΟ ΓΥΜΝΑΣΙΟ ΜΑΡΓΑΡΙΤΙΟΥ ΘΕΣΠΡΩΤΙΑΣ</t>
  </si>
  <si>
    <t>ΗΜΕΡΗΣΙΟ ΓΥΜΝΑΣΙΟ ΝΕΑΣ ΣΕΛΕΥΚΕΙΑΣ ΘΕΣΠΡΩΤΙΑΣ</t>
  </si>
  <si>
    <t>ΗΜΕΡΗΣΙΟ ΓΥΜΝΑΣΙΟ ΝΕΡΑΪΔΑΣ ΘΕΣΠΡΩΤΙΑΣ</t>
  </si>
  <si>
    <t>ΗΜΕΡΗΣΙΟ ΓΥΜΝΑΣΙΟ ΠΑΡΑΜΥΘΙΑΣ ΘΕΣΠΡΩΤΙΑΣ</t>
  </si>
  <si>
    <t>ΗΜΕΡΗΣΙΟ ΓΥΜΝΑΣΙΟ ΠΕΡΔΙΚΑΣ ΘΕΣΠΡΩΤΙΑΣ</t>
  </si>
  <si>
    <t>ΗΜΕΡΗΣΙΟ ΓΥΜΝΑΣΙΟ ΠΛΑΤΑΡΙΑΣ ΘΕΣΠΡΩΤΙΑΣ</t>
  </si>
  <si>
    <t>ΜΟΥΣΙΚΟ ΓΥΜΝΑΣΙΟ ΗΓΟΥΜΕΝΙΤΣΑΣ</t>
  </si>
  <si>
    <t>Ε.Ε.Ε.ΕΚ. ΠΑΡΑΜΥΘΙΑΣ</t>
  </si>
  <si>
    <t>1ο ΕΠΑΛ ΠΑΡΑΜΥΘΙΑΣ</t>
  </si>
  <si>
    <t>1ο ΗΜΕΡΗΣΙΟ ΕΠΑΓΓΕΛΜΑΤΙΚΟ ΛΥΚΕΙΟ ΦΙΛΙΑΤΩΝ</t>
  </si>
  <si>
    <t>1ο ΗΜΕΡΗΣΙΟ ΓΕΝΙΚΟ ΛΥΚΕΙΟ ΗΓΟΥΜΕΝΙΤΣΑΣ</t>
  </si>
  <si>
    <t>1ο ΗΜΕΡΗΣΙΟ ΓΕΝΙΚΟ ΛΥΚΕΙΟ ΠΑΡΑΜΥΘΙΑΣ ΘΕΣΠΡΩΤΙΑΣ</t>
  </si>
  <si>
    <t>2ο ΗΜΕΡΗΣΙΟ ΓΕΝΙΚΟ ΛΥΚΕΙΟ ΗΓΟΥΜΕΝΙΤΣΑΣ</t>
  </si>
  <si>
    <t>ΕΣΠΕΡΙΝΟ ΓΕΝΙΚΟ ΛΥΚΕΙΟ ΗΓΟΥΜΕΝΙΤΣΑΣ</t>
  </si>
  <si>
    <t>ΗΜΕΡΗΣΙΟ ΓΕΝΙΚΟ ΛΥΚΕΙΟ ΜΑΡΓΑΡΙΤΙΟΥ ΘΕΣΠΡΩΤΙΑΣ</t>
  </si>
  <si>
    <t>ΗΜΕΡΗΣΙΟ ΓΕΝΙΚΟ ΛΥΚΕΙΟ ΦΙΛΙΑΤΩΝ ΘΕΣΠΡΩΤΙΑΣ</t>
  </si>
  <si>
    <t>ΗΓΟΥΜΕΝΙΤΣΑΣ</t>
  </si>
  <si>
    <t>ΦΙΛΙΑΤΩΝ</t>
  </si>
  <si>
    <t>ΣΟΥΛΙΟΥ</t>
  </si>
  <si>
    <t>ΓΑΡΔΙΚΙΟΥ</t>
  </si>
  <si>
    <t>ΜΑΡΓΑΡΙΤΙΟΥ</t>
  </si>
  <si>
    <t>ΝΕΡΑΪΔΑΣ</t>
  </si>
  <si>
    <t>ΠΑΡΑΜΥΘΙΑΣ</t>
  </si>
  <si>
    <t>ΠΕΡΔΙΚΑΣ</t>
  </si>
  <si>
    <t>ΠΛΑΤΑΡΙΑΣ</t>
  </si>
  <si>
    <t>ΝΕΑΣ ΣΕΛΕΥΚΕΙΑΣ</t>
  </si>
  <si>
    <t>Ναι</t>
  </si>
  <si>
    <t>ΣΕ ΑΝΑΣΤΟΛΗ</t>
  </si>
  <si>
    <t>ΜΑΖΑΡΑΚΙΑΣ</t>
  </si>
  <si>
    <t>10ο ΗΜΕΡΗΣΙΟ ΓΥΜΝΑΣΙΟ ΙΩΑΝΝΙΝΩΝ  &lt;&lt; ΘΕΟΔΩΡΟΣ ΠΑΠΑΓΙΑΝΝΗΣ &gt;&gt;</t>
  </si>
  <si>
    <t>11ο ΗΜΕΡΗΣΙΟ ΓΥΜΝΑΣΙΟ ΙΩΑΝΝΙΝΩΝ</t>
  </si>
  <si>
    <t>1ο ΗΜΕΡΗΣΙΟ ΓΥΜΝΑΣΙΟ ΙΩΑΝΝΙΝΩΝ</t>
  </si>
  <si>
    <t>1ο ΗΜΕΡΗΣΙΟ ΓΥΜΝΑΣΙΟ ΠΑΡΑΚΑΛΑΜΟΥ ΙΩΑΝΝΙΝΩΝ - ΓΥΜΝΑΣΙΟ ΠΑΡΑΚΑΛΑΜΟΥ</t>
  </si>
  <si>
    <t>1ο ΗΜΕΡΗΣΙΟ ΓΥΜΝΑΣΙΟ ΠΡΑΜΑΝΤΩΝ ΙΩΑΝΝΙΝΩΝ - ΓΥΜΝΑΣΙΟ-ΛΥΚΕΙΑΚΕΣ ΤΑΞΕΙΣ ΠΡΑΜΑΝΤΩΝ</t>
  </si>
  <si>
    <t>2ο ΓΥΜΝΑΣΙΟ ΙΩΑΝΝΙΝΩΝ ΔΙΑΠΟΛΙΤΙΣΜΙΚΗΣ ΕΚΠΑΙΔΕΥΣΗΣ</t>
  </si>
  <si>
    <t>2ο ΗΜΕΡΗΣΙΟ ΓΥΜΝΑΣΙΟ ΑΝΑΤΟΛΗΣ ΙΩΑΝΝΙΝΩΝ</t>
  </si>
  <si>
    <t>3ο ΗΜΕΡΗΣΙΟ ΓΥΜΝΑΣΙΟ ΙΩΑΝΝΙΝΩΝ</t>
  </si>
  <si>
    <t>4ο ΗΜΕΡΗΣΙΟ ΓΥΜΝΑΣΙΟ ΙΩΑΝΝΙΝΩΝ</t>
  </si>
  <si>
    <t>5ο ΗΜΕΡΗΣΙΟ ΓΥΜΝΑΣΙΟ ΙΩΑΝΝΙΝΩΝ</t>
  </si>
  <si>
    <t>6ο ΗΜΕΡΗΣΙΟ ΓΥΜΝΑΣΙΟ ΙΩΑΝΝΙΝΩΝ</t>
  </si>
  <si>
    <t>7ο ΗΜΕΡΗΣΙΟ ΓΥΜΝΑΣΙΟ ΙΩΑΝΝΙΝΩΝ</t>
  </si>
  <si>
    <t>8ο ΗΜΕΡΗΣΙΟ ΓΥΜΝΑΣΙΟ ΙΩΑΝΝΙΝΩΝ</t>
  </si>
  <si>
    <t>9ο ΗΜΕΡΗΣΙΟ ΓΥΜΝΑΣΙΟ ΙΩΑΝΝΙΝΩΝ</t>
  </si>
  <si>
    <t>ΓΥΜΝΑΣΙΟ ΔΟΛΙΑΝΩΝ ΙΩΑΝΝΙΝΩΝ</t>
  </si>
  <si>
    <t>ΓΥΜΝΑΣΙΟ ΠΕΡΑΜΑΤΟΣ ΙΩΑΝΝΙΝΩΝ</t>
  </si>
  <si>
    <t>ΕΝΙΑΙΟ ΕΙΔΙΚΟ ΕΠΑΓΓΕΛΜΑΤΙΚΟ ΓΥΜΝΑΣΙΟ ΛΥΚΕΙΟ ΙΩΑΝΝΙΝΩΝ</t>
  </si>
  <si>
    <t>ΕΣΠΕΡΙΝΟ ΓΥΜΝΑΣΙΟ ΙΩΑΝΝΙΝΩΝ</t>
  </si>
  <si>
    <t>ΗΜΕΡΗΣΙΟ ΓΥΜΝΑΣΙΟ - ΓΕ.Λ. ΧΡΥΣΟΒΙΤΣΑΣ</t>
  </si>
  <si>
    <t>ΗΜΕΡΗΣΙΟ ΓΥΜΝΑΣΙΟ ΑΝΑΤΟΛΗΣ ΙΩΑΝΝΙΝΩΝ</t>
  </si>
  <si>
    <t>ΗΜΕΡΗΣΙΟ ΓΥΜΝΑΣΙΟ ΒΕΛΙΣΣΑΡΙΟΥ ΙΩΑΝΝΙΝΩΝ</t>
  </si>
  <si>
    <t>ΗΜΕΡΗΣΙΟ ΓΥΜΝΑΣΙΟ ΒΡΟΣΙΝΑΣ ΙΩΑΝΝΙΝΩΝ</t>
  </si>
  <si>
    <t>ΗΜΕΡΗΣΙΟ ΓΥΜΝΑΣΙΟ ΔΕΛΒΙΝΑΚΙΟΥ ΙΩΑΝΝΙΝΩΝ</t>
  </si>
  <si>
    <t>ΗΜΕΡΗΣΙΟ ΓΥΜΝΑΣΙΟ ΕΛΕΟΥΣΑΣ ΙΩΑΝΝΙΝΩΝ</t>
  </si>
  <si>
    <t>ΗΜΕΡΗΣΙΟ ΓΥΜΝΑΣΙΟ ΖΙΤΣΑΣ ΜΕ ΛΥΚΕΙΑΚΕΣ ΤΑΞΕΙΣ</t>
  </si>
  <si>
    <t>ΗΜΕΡΗΣΙΟ ΓΥΜΝΑΣΙΟ ΚΑΤΣΙΚΑ ΙΩΑΝΝΙΝΩΝ</t>
  </si>
  <si>
    <t>ΗΜΕΡΗΣΙΟ ΓΥΜΝΑΣΙΟ ΚΟΝΙΤΣΑΣ ΙΩΑΝΝΙΝΩΝ</t>
  </si>
  <si>
    <t>ΗΜΕΡΗΣΙΟ ΓΥΜΝΑΣΙΟ ΚΟΥΤΣΕΛΙΟΥ ΙΩΑΝΝΙΝΩΝ</t>
  </si>
  <si>
    <t>ΗΜΕΡΗΣΙΟ ΓΥΜΝΑΣΙΟ ΛΟΓΓΑΔΩΝ ΙΩΑΝΝΙΝΩΝ</t>
  </si>
  <si>
    <t>ΗΜΕΡΗΣΙΟ ΓΥΜΝΑΣΙΟ ΜΕΤΑΜΟΡΦΩΣΗΣ</t>
  </si>
  <si>
    <t>ΗΜΕΡΗΣΙΟ ΓΥΜΝΑΣΙΟ ΜΕΤΣΟΒΟΥ ΙΩΑΝΝΙΝΩΝ</t>
  </si>
  <si>
    <t>ΗΜΕΡΗΣΙΟ ΓΥΜΝΑΣΙΟ ΜΠΙΖΑΝΙΟΥ ΙΩΑΝΝΙΝΩΝ</t>
  </si>
  <si>
    <t>ΗΜΕΡΗΣΙΟ ΓΥΜΝΑΣΙΟ ΠΕΔΙΝΗΣ ΙΩΑΝΝΙΝΩΝ</t>
  </si>
  <si>
    <t>ΗΜΕΡΗΣΙΟ ΓΥΜΝΑΣΙΟ ΠΩΓΩΝΙΑΝΗΣ ΙΩΑΝΝΙΝΩΝ</t>
  </si>
  <si>
    <t>ΗΜΕΡΗΣΙΟ ΓΥΜΝΑΣΙΟ ΣΤΑΥΡΑΚΙ ΙΩΑΝΝΙΝΩΝ - ΓΥΜΝΑΣΙΟ ΣΤΑΥΡΑΚΙΟΥ</t>
  </si>
  <si>
    <t>ΜΟΥΣΙΚΟ ΣΧΟΛΕΙΟ ΙΩΑΝΝΙΝΩΝ - "ΝΙΚΟΛΑΟΣ ΔΟΥΜΠΑΣ"</t>
  </si>
  <si>
    <t>ΠΡΟΤΥΠΟ ΓΥΜΝΑΣΙΟ ΖΩΣΙΜΑΙΑΣ ΣΧΟΛΗΣ</t>
  </si>
  <si>
    <t>Ε.Ε.Ε.ΕΚ. ΙΩΑΝΝΙΝΑ - Ε.Ε.Ε.ΕΚ. ΙΩΑΝΝΙΝΩΝ</t>
  </si>
  <si>
    <t>1ο ΕΠΑΛ ΜΕΤΣΟΒΟΥ</t>
  </si>
  <si>
    <t>1ο ΗΜΕΡΗΣΙΟ ΕΠΑΛ ΙΩΑΝΝΙΝΩΝ</t>
  </si>
  <si>
    <t>1ο ΗΜΕΡΗΣΙΟ ΕΠΑΛ ΚΟΝΙΤΣΑΣ</t>
  </si>
  <si>
    <t>2ο ΕΣΠΕΡΙΝΟ ΕΠΑ.Λ. ΙΩΑΝΝΙΝΩΝ</t>
  </si>
  <si>
    <t>3ο ΗΜΕΡΗΣΙΟ ΕΠΑΛ ΙΩΑΝΝΙΝΩΝ</t>
  </si>
  <si>
    <t>6ο ΗΜΕΡΗΣΙΟ ΕΠΑΛ ΙΩΑΝΝΙΝΩΝ</t>
  </si>
  <si>
    <t>ΕΠΑ.Λ. ΒΡΟΣΙΝΑΣ</t>
  </si>
  <si>
    <t>1ο ΓΕΝΙΚΟ ΛΥΚΕΙΟ ΜΕΤΣΟΒΟΥ</t>
  </si>
  <si>
    <t>1ο ΗΜΕΡΗΣΙΟ ΓΕΝΙΚΟ ΛΥΚΕΙΟ ΙΩΑΝΝΙΝΩΝ</t>
  </si>
  <si>
    <t>2ο ΗΜΕΡΗΣΙΟ ΓΕΝΙΚΟ ΛΥΚΕΙΟ ΙΩΑΝΝΙΝΩΝ - ΓΕΩΡΓΙΟΣ ΣΤΑΥΡΟΥ</t>
  </si>
  <si>
    <t>3ο ΗΜΕΡΗΣΙΟ ΓΕΝΙΚΟ ΛΥΚΕΙΟ ΙΩΑΝΝΙΝΩΝ - "ΕΠΙΦΑΝΕΙΟΣ ΣΧΟΛΗ"</t>
  </si>
  <si>
    <t>4ο ΗΜΕΡΗΣΙΟ ΓΕΝΙΚΟ ΛΥΚΕΙΟ ΙΩΑΝΝΙΝΩΝ - "ΑΚΑΔΗΜΙΑ"</t>
  </si>
  <si>
    <t>5ο ΗΜΕΡΗΣΙΟ ΓΕΝΙΚΟ ΛΥΚΕΙΟ ΙΩΑΝΝΙΝΩΝ</t>
  </si>
  <si>
    <t>7ο ΗΜΕΡΗΣΙΟ ΓΕΝΙΚΟ ΛΥΚΕΙΟ ΙΩΑΝΝΙΝΩΝ</t>
  </si>
  <si>
    <t>8ο ΗΜΕΡΗΣΙΟ ΓΕΝΙΚΟ ΛΥΚΕΙΟ ΙΩΑΝΝΙΝΩΝ</t>
  </si>
  <si>
    <t>9ο ΓΕΝΙΚΟ ΛΥΚΕΙΟ ΚΑΡΔΑΜΙΤΣΙΩΝ</t>
  </si>
  <si>
    <t>ΓΕ.Λ. ΕΛΕΟΥΣΑΣ - «Κωνσταντίνος Ασώπιος»</t>
  </si>
  <si>
    <t>ΕΣΠΕΡΙΝΟ ΓΕΝΙΚΟ ΛΥΚΕΙΟ ΙΩΑΝΝΙΝΩΝ</t>
  </si>
  <si>
    <t>ΗΜΕΡΗΣΙΟ ΓΕΝΙΚΟ ΛΥΚΕΙΟ ΑΝΑΤΟΛΗΣ ΙΩΑΝΝΙΝΩΝ</t>
  </si>
  <si>
    <t>ΗΜΕΡΗΣΙΟ ΓΕΝΙΚΟ ΛΥΚΕΙΟ ΔΟΛΙΑΝΩΝ ΙΩΑΝΝΙΝΩΝ</t>
  </si>
  <si>
    <t>ΗΜΕΡΗΣΙΟ ΓΕΝΙΚΟ ΛΥΚΕΙΟ ΚΑΤΣΙΚΑ - " ΜΑΡΟΥΛΕΙΟ "</t>
  </si>
  <si>
    <t>ΗΜΕΡΗΣΙΟ ΓΕΝΙΚΟ ΛΥΚΕΙΟ ΚΟΝΙΤΣΑΣ - ΓΕΝΙΚΟ ΛΥΚΕΙΟ ΚΟΝΙΤΣΑΣ</t>
  </si>
  <si>
    <t>ΗΜΕΡΗΣΙΟ ΓΕΝΙΚΟ ΛΥΚΕΙΟ ΠΕΔΙΝΗΣ</t>
  </si>
  <si>
    <t>ΠΡΟΤΥΠΟ ΓΕΝΙΚΟ ΛΥΚΕΙΟ ΖΩΣΙΜΑΙΑΣ ΣΧΟΛΗΣ ΙΩΑΝΝΙΝΩΝ</t>
  </si>
  <si>
    <t xml:space="preserve">πριν το 1978 </t>
  </si>
  <si>
    <t>1985 ανεγέρθη η προσθήκη  ( το παλαιό κτίριο ανεγέρθη το 1938)</t>
  </si>
  <si>
    <t xml:space="preserve">  19-05-1982</t>
  </si>
  <si>
    <t>ΔΕΝ ΓΝΩΡΙΖΩ</t>
  </si>
  <si>
    <t>Συστεγάζεται με το 4ο Γ/σιο</t>
  </si>
  <si>
    <t>1992-1995</t>
  </si>
  <si>
    <t>ΑΝΑΣΤΟΛΗ ΛΕΙΤΟΥΡΓΙΑΣ</t>
  </si>
  <si>
    <t>1990-1993</t>
  </si>
  <si>
    <t>22/10/1996 (πρωτ. Παραλαβής)</t>
  </si>
  <si>
    <t>ΑΓΝΩΣΤΟ</t>
  </si>
  <si>
    <t>1959-1965</t>
  </si>
  <si>
    <t>ΠΑΛΙΟ ΚΤΙΡΙΟ 
(ΠΡΩΗΝ ΕΜΠΟΡΙΚΗ ΣΧΟΛΗ) 
1870
ΝΈΟ ΚΤΙΡΙΟ 
1979</t>
  </si>
  <si>
    <t>1974 (ΘΕΜΕΛΙΩΣΗ)</t>
  </si>
  <si>
    <t>1994 (Α ΚΤΗΡΙΟ) 1997 (Β ΚΤΗΡΙΟ)</t>
  </si>
  <si>
    <t>1952 (Κτίριο) - 1980 (Γυμναστήριο)</t>
  </si>
  <si>
    <t>ΔΔΕ ΘΕΣΠΡΩΤΙΑΣ</t>
  </si>
  <si>
    <t>ΔΔΕ ΙΩΑΝΝΙΝΩΝ</t>
  </si>
  <si>
    <t>ΜΟΥΣΙΚΟ ΣΧΟΛΕΙΟ</t>
  </si>
  <si>
    <t>ΑΝΑΤΟΛΗΣ</t>
  </si>
  <si>
    <t>ΔΟΛΙΑΝΩΝ</t>
  </si>
  <si>
    <t>ΙΩΑΝΝΙΤΩΝ</t>
  </si>
  <si>
    <t>ΠΩΓΩΝΙΟΥ</t>
  </si>
  <si>
    <t>ΒΟΡΕΙΩΝ ΤΖΟΥΜΕΡΚΩΝ</t>
  </si>
  <si>
    <t>ΜΕΤΣΟΒΟΥ</t>
  </si>
  <si>
    <t>ΖΙΤΣΑΣ</t>
  </si>
  <si>
    <t>ΚΟΝΙΤΣΑΣ</t>
  </si>
  <si>
    <t>ΙΩΑΝΝΝΩΝ</t>
  </si>
  <si>
    <t>ΠΑΡΑΚΑΛΑΜΟΥ</t>
  </si>
  <si>
    <t>ΠΡΑΜΑΝΤΩΝ</t>
  </si>
  <si>
    <t>ΧΡΥΣΟΒΙΤΣΑΣ</t>
  </si>
  <si>
    <t>ΛΑΨΙΣΤΑΣ</t>
  </si>
  <si>
    <t>ΔΕΛΒΙΝΑΚΙΟΥ</t>
  </si>
  <si>
    <t>ΕΛΕΟΥΣΑΣ</t>
  </si>
  <si>
    <t>ΚΟΥΤΣΕΛΙΟΥ</t>
  </si>
  <si>
    <t>ΛΟΓΓΑΔΩΝ</t>
  </si>
  <si>
    <t>ΠΕΔΙΝΗΣ</t>
  </si>
  <si>
    <t>ΚΑΤΣΙΚΑΣ</t>
  </si>
  <si>
    <t>ΜΕΤΑΜΟΡΦΩΣΗΣ</t>
  </si>
  <si>
    <t>ΜΠΙΖΑΝΙΟΥ</t>
  </si>
  <si>
    <t>ΠΩΓΩΝΙΑΝΗΣ</t>
  </si>
  <si>
    <t>ΣΤΑΥΡΑΚΙΟΥ</t>
  </si>
  <si>
    <t>ΒΡΟΣΙΝΑΣ</t>
  </si>
  <si>
    <t>ΑΝΑΣΤΟΛΗ</t>
  </si>
  <si>
    <r>
      <rPr>
        <vertAlign val="superscript"/>
        <sz val="11"/>
        <color theme="1"/>
        <rFont val="Calibri"/>
        <family val="2"/>
        <charset val="161"/>
      </rPr>
      <t>1</t>
    </r>
    <r>
      <rPr>
        <sz val="11"/>
        <color theme="1"/>
        <rFont val="Calibri"/>
        <family val="2"/>
        <charset val="161"/>
      </rPr>
      <t>Αναφέρατε την τελευταία τροποποίηση ΦΕΚ σύμφωνα με την οποία  λειτουργεί  η σχολική μονάδα.</t>
    </r>
  </si>
  <si>
    <r>
      <t xml:space="preserve">ΝΑΙ </t>
    </r>
    <r>
      <rPr>
        <sz val="11"/>
        <color rgb="FF000000"/>
        <rFont val="Calibri"/>
        <family val="2"/>
        <charset val="161"/>
      </rPr>
      <t>(ΑΠΌ ΝΟΜΙΜΟΠΟΙΗΣΗ)</t>
    </r>
  </si>
  <si>
    <t>ΠΑΛΙΟ ΚΤΙΡΙΟ 1981 
ΝΈΟ ΚΤΙΡΙΟ 2012</t>
  </si>
  <si>
    <t>ΠΑΛΙΟ ΚΤΙΡΙΟ 1993
ΝΈΟ ΚΤΙΡΙΟ 2012</t>
  </si>
  <si>
    <t>ΚΤΙΡΙΟ ΣΧΟΛΕΙΟΥ 1994
ΚΤΙΡΙΟ ΕΡΓΑΣΤΗΡΙΟΥ ΦΥΣΙΚΗΣ 1998</t>
  </si>
  <si>
    <t>1ο ΗΜΕΡΗΣΙΟ ΕΠΑΛ ΗΓΟΥΜΕΝΙΤΣΑΣ (ΠΛΕΟΝ ΠΕΠΑΛ)</t>
  </si>
  <si>
    <t>ΠΑΛΙΟ ΚΤΙΡΙΟ 1980
ΝΈΟ ΚΤΙΡΙΟ 2010</t>
  </si>
  <si>
    <t>ΚΕΝΤΡΙΚΟ ΚΤΙΡΙΟ 1961
ΠΑΡΑΡΤΗΜΑ 1973</t>
  </si>
  <si>
    <t>ΠΑΛΙΟ ΚΤΙΡΙΟ 1961
ΠΑΡΑΡΤΗΜΑ 1973</t>
  </si>
  <si>
    <t>1ο ΗΜΕΡΗΣΙΟ ΓΥΜΝΑΣΙΟ ΦΙΛΙΠΠΙΑΔΑΣ</t>
  </si>
  <si>
    <t>1ο ΠΡΟΤΥΠΟ ΓΥΜΝΑΣΙΟ ΠΡΕΒΕΖΑΣ</t>
  </si>
  <si>
    <t>2ο ΓΥΜΝΑΣΙΟ ΠΡΕΒΕΖΑΣ</t>
  </si>
  <si>
    <t>2ο ΓΥΜΝΑΣΙΟ ΦΙΛΙΠΠΙΑΔΑΣ</t>
  </si>
  <si>
    <t>3ο ΗΜΕΡΗΣΙΟ ΓΥΜΝΑΣΙΟ ΠΡΕΒΕΖΑΣ</t>
  </si>
  <si>
    <t>4ο ΓΥΜΝΑΣΙΟ ΠΡΕΒΕΖΑΣ</t>
  </si>
  <si>
    <t>ΓΥΜΝΑΣΙΟ ΖΑΛΟΓΓΟΥ</t>
  </si>
  <si>
    <t>ΓΥΜΝΑΣΙΟ ΘΕΣΠΡΩΤΙΚΟΥ "ΕΥΣΤΡΑΤΙΑ ΖΟΡΜΠΑ-ΤΣΟΓΚΑ"</t>
  </si>
  <si>
    <t>ΓΥΜΝΑΣΙΟ ΚΑΝΑΛΑΚΙΟΥ</t>
  </si>
  <si>
    <t>ΓΥΜΝΑΣΙΟ ΛΟΥΡΟΥ</t>
  </si>
  <si>
    <t>ΓΥΜΝΑΣΙΟ ΠΑΡΓΑΣ</t>
  </si>
  <si>
    <t>ΕΣΠΕΡΙΝΟ ΓΥΜΝΑΣΙΟ ΠΡΕΒΕΖΑΣ</t>
  </si>
  <si>
    <t>ΜΟΥΣΙΚΟ ΣΧΟΛΕΙΟ ΠΡΕΒΕΖΑΣ</t>
  </si>
  <si>
    <t>ΕΕΕΕΚ ΠΡΕΒΕΖΑΣ (Ν. ΣΑΜΨΟΥΝΤΑ)</t>
  </si>
  <si>
    <t>1ο ΕΠΑΛ ΠΡΕΒΕΖΑΣ</t>
  </si>
  <si>
    <t>1ο ΕΠΑΛ ΦΙΛΙΠΠΙΑΔΑΣ</t>
  </si>
  <si>
    <t>ΕΠΑΛ ΚΑΝΑΛΑΚΙΟΥ</t>
  </si>
  <si>
    <t>ΕΣΠΕΡΙΝΟ ΕΠΑΛ ΠΡΕΒΕΖΑΣ</t>
  </si>
  <si>
    <t>1ο ΗΜΕΡΗΣΙΟ ΓΕΝΙΚΟ ΛΥΚΕΙΟ ΠΡΕΒΕΖΑΣ</t>
  </si>
  <si>
    <t>1ο ΗΜΕΡΗΣΙΟ ΓΕΝΙΚΟ ΛΥΚΕΙΟ ΦΙΛΙΠΠΙΑΔΑΣ</t>
  </si>
  <si>
    <t>2ο ΓΕΝΙΚΟ ΛΥΚΕΙΟ ΠΡΕΒΕΖΑΣ</t>
  </si>
  <si>
    <t>ΓΕΛ ΘΕΣΠΡΩΤΙΚΟΥ "ΒΑΣΙΛΕΙΟΣ ΖΟΡΜΠΑΣ"</t>
  </si>
  <si>
    <t>ΓΕΛ ΛΟΥΡΟΥ</t>
  </si>
  <si>
    <t>ΔΕΣΚΕΙΟ ΓΕΝΙΚΟ ΛΥΚΕΙΟ ΠΑΡΓΑΣ</t>
  </si>
  <si>
    <t>ΕΣΠΕΡΙΝΟ ΓΕΛ ΠΡΕΒΕΖΑΣ</t>
  </si>
  <si>
    <t>ΗΜΕΡΗΣΙΟ ΓΕΝΙΚΟ ΛΥΚΕΙΟ ΚΑΝΑΛΑΚΙΟΥ</t>
  </si>
  <si>
    <t>ΔΔΕ ΠΡΕΒΕΖΑΣ</t>
  </si>
  <si>
    <t>ΖΗΡΟΥ</t>
  </si>
  <si>
    <t>ΠΑΡΓΑΣ</t>
  </si>
  <si>
    <t>ΦΙΛΙΠΠΙΑΔΑΣ</t>
  </si>
  <si>
    <t>ΘΕΣΠΡΩΤΙΚΟΥ</t>
  </si>
  <si>
    <t>ΚΑΝΑΛΑΚΙΟΥ</t>
  </si>
  <si>
    <t>ΛΟΥΡΟΥ</t>
  </si>
  <si>
    <t>ΝΕΑΣ ΣΑΜΨΟΥΝΤΑΣ</t>
  </si>
  <si>
    <t>ΚΑΝΑΛΙ</t>
  </si>
  <si>
    <t>Δεν υπάρχει στο σχολείο</t>
  </si>
  <si>
    <t>NAI</t>
  </si>
  <si>
    <t>1ο ΝΗΠΙΑΓΩΓΕΙΟ ΙΩΑΝΝΙΝΩΝ - ΚΑΠΛΑΝΕΙΟΣ ΣΧΟΛΗ</t>
  </si>
  <si>
    <t>2ο ΝΗΠΙΑΓΩΓΕΙΟ ΙΩΑΝΝΙΝΩΝ</t>
  </si>
  <si>
    <t>3ο ΝΗΠΙΑΓΩΓΕΙΟ ΙΩΑΝΝΙΝΩΝ</t>
  </si>
  <si>
    <t>4ο ΝΗΠΙΑΓΩΓΕΙΟ ΙΩΑΝΝΙΝΩΝ</t>
  </si>
  <si>
    <t>5ο ΝΗΠΙΑΓΩΓΕΙΟ ΙΩΑΝΝΙΝΩΝ</t>
  </si>
  <si>
    <t>6ο ΝΗΠΙΑΓΩΓΕΙΟ ΙΩΑΝΝΙΝΩΝ</t>
  </si>
  <si>
    <t>7ο ΝΗΠΙΑΓΩΓΕΙΟ ΙΩΑΝΝΙΝΩΝ</t>
  </si>
  <si>
    <t>8ο ΝΗΠΙΑΓΩΓΕΙΟ ΙΩΑΝΝΙΝΩΝ</t>
  </si>
  <si>
    <t>10ο ΝΗΠΙΑΓΩΓΕΙΟ ΙΩΑΝΝΙΝΩΝ - ΜΑΡΟΥΤΣΕΙΟ</t>
  </si>
  <si>
    <t>11ο ΝΗΠΙΑΓΩΓΕΙΟ ΙΩΑΝΝΙΝΩΝ</t>
  </si>
  <si>
    <t>14ο ΝΗΠΙΑΓΩΓΕΙΟ ΙΩΑΝΝΙΝΩΝ</t>
  </si>
  <si>
    <t>15ο ΝΗΠΙΑΓΩΓΕΙΟ ΙΩΑΝΝΙΝΩΝ</t>
  </si>
  <si>
    <t>18ο ΝΗΠΙΑΓΩΓΕΙΟ ΙΩΑΝΝΙΝΩΝ</t>
  </si>
  <si>
    <t>19ο ΝΗΠΙΑΓΩΓΕΙΟ ΙΩΑΝΝΙΝΩΝ</t>
  </si>
  <si>
    <t>22ο ΝΗΠΙΑΓΩΓΕΙΟ ΙΩΑΝΝΙΝΩΝ</t>
  </si>
  <si>
    <t>23ο ΝΗΠΙΑΓΩΓΕΙΟ ΙΩΑΝΝΙΝΩΝ</t>
  </si>
  <si>
    <t>25ο ΝΗΠΙΑΓΩΓΕΙΟ ΙΩΑΝΝΙΝΩΝ</t>
  </si>
  <si>
    <t>28ο ΝΗΠΙΑΓΩΓΕΙΟ ΙΩΑΝΝΙΝΩΝ</t>
  </si>
  <si>
    <t>29ο ΝΗΠΙΑΓΩΓΕΙΟ ΙΩΑΝΝΙΝΩΝ</t>
  </si>
  <si>
    <t>30ο ΝΗΠΙΑΓΩΓΕΙΟ ΙΩΑΝΝΙΝΩΝ</t>
  </si>
  <si>
    <t>31ο ΝΗΠΙΑΓΩΓΕΙΟ ΙΩΑΝΝΙΝΩΝ</t>
  </si>
  <si>
    <t>33ο ΠΕΙΡΑΜΑΤΙΚΟ ΝΗΠΙΑΓΩΓΕΙΟ ΙΩΑΝΝΙΝΩΝ</t>
  </si>
  <si>
    <t>1ο ΝΗΠΙΑΓΩΓΕΙΟ ΑΝΑΤΟΛΗΣ</t>
  </si>
  <si>
    <t>2ο ΝΗΠΙΑΓΩΓΕΙΟ ΑΝΑΤΟΛΗΣ</t>
  </si>
  <si>
    <t>3ο ΝΗΠΙΑΓΩΓΕΙΟ ΑΝΑΤΟΛΗΣ</t>
  </si>
  <si>
    <t>5ο ΝΗΠΙΑΓΩΓΕΙΟ ΑΝΑΤΟΛΗΣ</t>
  </si>
  <si>
    <t>6ο ΝΗΠΙΑΓΩΓΕΙΟ ΑΝΑΤΟΛΗΣ</t>
  </si>
  <si>
    <t>2ο ΝΗΠΙΑΓΩΓΕΙΟ ΕΛΕΟΥΣΑΣ</t>
  </si>
  <si>
    <t>1ο ΝΗΠΙΑΓΩΓΕΙΟ ΚΑΤΣΙΚΑ</t>
  </si>
  <si>
    <t>3ο ΝΗΠΙΑΓΩΓΕΙΟ ΚΑΤΣΙΚΑ</t>
  </si>
  <si>
    <t>1ο ΝΗΠΙΑΓΩΓΕΙΟ ΚΟΝΙΤΣΑΣ</t>
  </si>
  <si>
    <t>2ο ΝΗΠΙΑΓΩΓΕΙΟ ΚΟΝΙΤΣΑΣ</t>
  </si>
  <si>
    <t>3ο ΝΗΠΙΑΓΩΓΕΙΟ ΚΟΝΙΤΣΑΣ</t>
  </si>
  <si>
    <t>1ο ΝΗΠΙΑΓΩΓΕΙΟ ΜΑΡΜΑΡΩΝ</t>
  </si>
  <si>
    <t>3ο ΝΗΠΙΑΓΩΓΕΙΟ ΜΑΡΜΑΡΩΝ</t>
  </si>
  <si>
    <t>ΝΗΠΙΑΓΩΓΕΙΟ ΑΒΓΟΥ</t>
  </si>
  <si>
    <t>ΔΩΔΩΝΗΣ</t>
  </si>
  <si>
    <t>ΝΗΠΙΑΓΩΓΕΙΟ ΑΓΙΟΥ ΙΩΑΝΝΗ ΙΩΑΝΝΙΝΩΝ</t>
  </si>
  <si>
    <t>ΝΗΠΙΑΓΩΓΕΙΟ ΑΜΦΙΘΕΑΣ ΙΩΑΝΝΙΝΩΝ</t>
  </si>
  <si>
    <t>ΠΕΡΑΜΑΤΟΣ</t>
  </si>
  <si>
    <t>ΝΗΠΙΑΓΩΓΕΙΟ ΑΝΗΛΙΟΥ</t>
  </si>
  <si>
    <t>ΝΗΠΙΑΓΩΓΕΙΟ ΒΟΒΟΥΣΑΣ</t>
  </si>
  <si>
    <t>ΖΑΓΟΡΙΟΥ</t>
  </si>
  <si>
    <t>ΝΗΠΙΑΓΩΓΕΙΟ ΒΟΤΟΝΟΣΙΟΥ</t>
  </si>
  <si>
    <t>ΝΗΠΙΑΓΩΓΕΙΟ ΒΟΥΝΟΠΛΑΓΙΑΣ</t>
  </si>
  <si>
    <t>ΝΗΠΙΑΓΩΓΕΙΟ ΒΟΥΤΣΑΡΑ</t>
  </si>
  <si>
    <t>ΝΗΠΙΑΓΩΓΕΙΟ ΓΟΡΙΤΣΑΣ</t>
  </si>
  <si>
    <t>ΝΗΠΙΑΓΩΓΕΙΟ ΔΕΛΒΙΝΑΚΙΟΥ</t>
  </si>
  <si>
    <t>ΝΗΠΙΑΓΩΓΕΙΟ ΔΙΣΤΡΑΤΟΥ</t>
  </si>
  <si>
    <t>ΔΙΣΤΡΑΤΟΥ</t>
  </si>
  <si>
    <t>ΝΗΠΙΑΓΩΓΕΙΟ ΔΡΟΣΟΧΩΡΙΟΥ</t>
  </si>
  <si>
    <t>ΝΗΠΙΑΓΩΓΕΙΟ ΖΙΤΣΑΣ</t>
  </si>
  <si>
    <t>ΝΗΠΙΑΓΩΓΕΙΟ ΖΩΟΔΟΧΟΥ</t>
  </si>
  <si>
    <t>ΝΗΠΙΑΓΩΓΕΙΟ Ι.Μ. ΡΩΜΑΝΟΥ</t>
  </si>
  <si>
    <t>ΝΗΠΙΑΓΩΓΕΙΟ ΚΑΛΠΑΚΙΟΥ</t>
  </si>
  <si>
    <t>ΚΑΛΠΑΚΙΟΥ</t>
  </si>
  <si>
    <t>ΝΗΠΙΑΓΩΓΕΙΟ ΚΑΤΩ ΚΡΥΦΟΒΟΥ</t>
  </si>
  <si>
    <t>ΝΗΠΙΑΓΩΓΕΙΟ ΚΕΦΑΛΟΒΡΥΣΟΥ</t>
  </si>
  <si>
    <t>ΝΗΠΙΑΓΩΓΕΙΟ ΚΕΦΑΛΟΧΩΡΙΟΥ ΚΟΝΙΤΣΑΣ</t>
  </si>
  <si>
    <t>ΝΗΠΙΑΓΩΓΕΙΟ ΚΛΗΜΑΤΙΑΣ</t>
  </si>
  <si>
    <t>ΝΗΠΙΑΓΩΓΕΙΟ ΚΟΥΤΣΕΛΙΟΥ</t>
  </si>
  <si>
    <t>ΝΗΠΙΑΓΩΓΕΙΟ ΚΡΑΝΟΥΛΑΣ</t>
  </si>
  <si>
    <t>ΝΗΠΙΑΓΩΓΕΙΟ ΚΡΥΑΣ</t>
  </si>
  <si>
    <t>ΝΗΠΙΑΓΩΓΕΙΟ ΛΟΓΓΑΔΩΝ</t>
  </si>
  <si>
    <t>ΝΗΠΙΑΓΩΓΕΙΟ ΜΕΤΑΜΟΡΦΩΣΗΣ ΙΩΑΝΝΙΝΩΝ</t>
  </si>
  <si>
    <t>ΝΗΠΙΑΓΩΓΕΙΟ ΜΕΤΣΟΒΟΥ</t>
  </si>
  <si>
    <t>ΝΗΠΙΑΓΩΓΕΙΟ ΜΗΛΕΑΣ</t>
  </si>
  <si>
    <t>ΜΗΛΕΑΣ</t>
  </si>
  <si>
    <t>ΝΗΠΙΑΓΩΓΕΙΟ ΜΗΛΙΩΤΑΔΩΝ</t>
  </si>
  <si>
    <t>ΝΗΠΙΑΓΩΓΕΙΟ ΜΙΚΡΟΥ ΠΕΡΙΣΤΕΡΙΟΥ</t>
  </si>
  <si>
    <t>ΝΗΠΙΑΓΩΓΕΙΟ ΜΠΑΦΡΑΣ</t>
  </si>
  <si>
    <t>ΝΗΠΙΑΓΩΓΕΙΟ ΜΠΙΖΑΝΙΟΥ</t>
  </si>
  <si>
    <t>ΝΗΠΙΑΓΩΓΕΙΟ ΝΕΑΣ ΜΟΥΣΙΩΤΙΤΣΑΣ</t>
  </si>
  <si>
    <t>ΝΗΠΙΑΓΩΓΕΙΟ ΝΕΟΚΑΙΣΑΡΕΙΑΣ</t>
  </si>
  <si>
    <t>ΝΗΠΙΑΓΩΓΕΙΟ ΝΕΟΧΩΡΟΠΟΥΛΟΥ</t>
  </si>
  <si>
    <t>ΝΗΠΙΑΓΩΓΕΙΟ ΠΑΠΙΓΚΟΥ</t>
  </si>
  <si>
    <t>ΠΑΠΙΓΚΟΥ</t>
  </si>
  <si>
    <t>ΝΗΠΙΑΓΩΓΕΙΟ ΠΑΡΑΚΑΛΑΜΟΥ</t>
  </si>
  <si>
    <t>ΝΗΠΙΑΓΩΓΕΙΟ ΠΕΔΙΝΗΣ</t>
  </si>
  <si>
    <t>ΝΗΠΙΑΓΩΓΕΙΟ ΠΕΡΑΜΑΤΟΣ ΙΩΑΝΝΙΝΩΝ</t>
  </si>
  <si>
    <t>ΝΗΠΙΑΓΩΓΕΙΟ ΠΛΑΤΑΝΙΑΣ</t>
  </si>
  <si>
    <t>ΝΗΠΙΑΓΩΓΕΙΟ ΠΡΑΜΑΝΤΩΝ</t>
  </si>
  <si>
    <t>ΝΗΠΙΑΓΩΓΕΙΟ ΡΟΔΟΤΟΠΙΟΥ</t>
  </si>
  <si>
    <t>ΝΗΠΙΑΓΩΓΕΙΟ ΣΤΑΥΡΑΚΙΟΥ</t>
  </si>
  <si>
    <t>ΝΗΠΙΑΓΩΓΕΙΟ ΧΡΥΣΟΒΙΤΣΑΣ ΙΩΑΝΝΙΝΩΝ</t>
  </si>
  <si>
    <t>ΕΙΔΙΚΟ ΝΗΠΙΑΓΩΓΕΙΟ ΙΩΑΝΝΙΝΩΝ</t>
  </si>
  <si>
    <t>ΕΙΔΙΚΟ ΝΗΠΙΑΓΩΓΕΙΟ ΣΩΜΑΤΙΚΑ ΑΝΑΠΗΡΩΝ ΠΑΙΔΙΩΝ ΙΩΑΝΝΙΝΩΝ</t>
  </si>
  <si>
    <t>1ο ΔΗΜΟΤΙΚΟ ΣΧΟΛΕΙΟ ΙΩΑΝΝΙΝΩΝ</t>
  </si>
  <si>
    <t>3ο ΔΗΜΟΤΙΚΟ ΣΧΟΛΕΙΟ ΙΩΑΝΝΙΝΩΝ - ΜΑΡΟΥΤΣΕΙΟ</t>
  </si>
  <si>
    <t>4ο ΔΗΜΟΤΙΚΟ ΣΧΟΛΕΙΟ ΙΩΑΝΝΙΝΩΝ</t>
  </si>
  <si>
    <t>5ο ΔΗΜΟΤΙΚΟ ΣΧΟΛΕΙΟ ΙΩΑΝΝΙΝΩΝ - ΒΑΛΑΝΕΙΟΣ ΣΧΟΛΗ</t>
  </si>
  <si>
    <t>6ο ΔΗΜΟΤΙΚΟ ΣΧΟΛΕΙΟ ΙΩΑΝΝΙΝΩΝ</t>
  </si>
  <si>
    <t>7ο ΔΗΜΟΤΙΚΟ ΣΧΟΛΕΙΟ ΙΩΑΝΝΙΝΩΝ - ΠΑΥΛΙΔΕΙΟΣ ΣΧΟΛΗ</t>
  </si>
  <si>
    <t>8ο ΔΗΜΟΤΙΚΟ ΣΧΟΛΕΙΟ ΙΩΑΝΝΙΝΩΝ</t>
  </si>
  <si>
    <t>9ο  ΠΕΙΡΑΜΑΤΙΚΟ ΔΗΜΟΤΙΚΟ ΣΧΟΛΕΙΟ ΙΩΑΝΝΙΝΩΝ - ΔΙΑΠΟΛΙΤΙΣΜΙΚΗΣ ΕΚΠΑΙΔΕΥΣΗΣ</t>
  </si>
  <si>
    <t>10ο ΔΗΜΟΤΙΚΟ ΣΧΟΛΕΙΟ ΙΩΑΝΝΙΝΩΝ</t>
  </si>
  <si>
    <t>11ο ΔΗΜΟΤΙΚΟ ΣΧΟΛΕΙΟ ΙΩΑΝΝΙΝΩΝ - Β ΕΛΙΣΑΒΕΤΕΙΟ</t>
  </si>
  <si>
    <t>12ο ΔΗΜΟΤΙΚΟ ΣΧΟΛΕΙΟ ΙΩΑΝΝΙΝΩΝ</t>
  </si>
  <si>
    <t>13ο ΔΗΜΟΤΙΚΟ ΣΧΟΛΕΙΟ ΙΩΑΝΝΙΝΩΝ</t>
  </si>
  <si>
    <t>16ο ΔΗΜΟΤΙΚΟ ΣΧΟΛΕΙΟ ΙΩΑΝΝΙΝΩΝ</t>
  </si>
  <si>
    <t>18ο ΔΗΜΟΤΙΚΟ ΣΧΟΛΕΙΟ ΙΩΑΝΝΙΝΩΝ - Γ ΕΛΙΣΑΒΕΤΕΙΟ</t>
  </si>
  <si>
    <t>19ο ΔΗΜΟΤΙΚΟ ΣΧΟΛΕΙΟ ΙΩΑΝΝΙΝΩΝ</t>
  </si>
  <si>
    <t>20ο ΔΗΜΟΤΙΚΟ ΣΧΟΛΕΙΟ ΙΩΑΝΝΙΝΩΝ</t>
  </si>
  <si>
    <t>21ο ΔΗΜΟΤΙΚΟ ΣΧΟΛΕΙΟ ΙΩΑΝΝΙΝΩΝ</t>
  </si>
  <si>
    <t>24ο ΔΗΜΟΤΙΚΟ ΣΧΟΛΕΙΟ ΙΩΑΝΝΙΝΩΝ</t>
  </si>
  <si>
    <t>26ο ΔΗΜΟΤΙΚΟ ΣΧΟΛΕΙΟ ΙΩΑΝΝΙΝΩΝ</t>
  </si>
  <si>
    <t>27ο ΔΗΜΟΤΙΚΟ ΣΧΟΛΕΙΟ ΙΩΑΝΝΙΝΩΝ</t>
  </si>
  <si>
    <t>1ο ΕΙΔΙΚΟ ΔΗΜΟΤΙΚΟ ΣΧΟΛΕΙΟ ΙΩΑΝΝΙΝΩΝ</t>
  </si>
  <si>
    <t>2ο ΕΙΔΙΚΟ ΔΗΜΟΤΙΚΟ ΣΧΟΛΕΙΟ ΙΩΑΝΝΙΝΩΝ - ΕΙΔΙΚΟ ΔΗΜΟΤΙΚΟ</t>
  </si>
  <si>
    <t>4ο ΕΙΔΙΚΟ ΔΗΜΟΤΙΚΟ ΣΧΟΛΕΙΟ ΙΩΑΝΝΙΝΩΝ</t>
  </si>
  <si>
    <t>1ο ΠΕΙΡΑΜΑΤΙΚΟ ΔΗΜΟΤΙΚΟ ΣΧΟΛΕΙΟ Ζ.Π.Α. ΙΩΑΝΝΙΝΩΝ (ΕΝΤΑΓΜΕΝΟ ΣΤΟ ΠΑΝΕΠΙΣΤΗΜΙΟ)</t>
  </si>
  <si>
    <t>2ο ΠΕΙΡΑΜΑΤΙΚΟ ΔΗΜΟΤΙΚΟ ΣΧΟΛΕΙΟ Ζ.Π.Α. ΙΩΑΝΝΙΝΩΝ (ΕΝΤΑΓΜΕΝΟ ΣΤΟ ΠΑΝΕΠΙΣΤΗΜΙΟ)</t>
  </si>
  <si>
    <t>1ο ΔΗΜΟΤΙΚΟ ΣΧΟΛΕΙΟ ΑΝΑΤΟΛΗΣ</t>
  </si>
  <si>
    <t>2ο ΔΗΜΟΤΙΚΟ ΣΧΟΛΕΙΟ ΑΝΑΤΟΛΗΣ</t>
  </si>
  <si>
    <t>4ο ΔΗΜΟΤΙΚΟ ΣΧΟΛΕΙΟ ΑΝΑΤΟΛΗΣ</t>
  </si>
  <si>
    <t>1ο ΔΗΜΟΤΙΚΟ ΣΧΟΛΕΙΟ ΕΛΕΟΥΣΑΣ</t>
  </si>
  <si>
    <t>2ο ΔΗΜΟΤΙΚΟ ΣΧΟΛΕΙΟ ΕΛΕΟΥΣΑΣ - ΓΡΗΓΟΡΙΟΣ ΠΑΛΙΟΥΡΙΤΗΣ</t>
  </si>
  <si>
    <t>1ο ΔΗΜΟΤΙΚΟ ΣΧΟΛΕΙΟ ΚΟΝΙΤΣΑΣ</t>
  </si>
  <si>
    <t>2ο ΔΗΜΟΤΙΚΟ ΣΧΟΛΕΙΟ ΚΟΝΙΤΣΑΣ</t>
  </si>
  <si>
    <t>3ο ΔΗΜΟΤΙΚΟ ΣΧΟΛΕΙΟ ΚΟΝΙΤΣΑΣ</t>
  </si>
  <si>
    <t>1ο ΔΗΜΟΤΙΚΟ ΣΧΟΛΕΙΟ ΜΑΡΜΑΡΩΝ</t>
  </si>
  <si>
    <t>3ο ΔΗΜΟΤΙΚΟ ΣΧΟΛΕΙΟ ΜΑΡΜΑΡΩΝ</t>
  </si>
  <si>
    <t>ΔΗΜΟΤΙΚΟ ΣΧΟΛΕΙΟ ΑΒΓΟΥ</t>
  </si>
  <si>
    <t>ΔΗΜΟΤΙΚΟ ΣΧΟΛΕΙΟ ΑΓΙΑΣ ΜΑΡΙΝΑΣ ΚΡΥΑΣ</t>
  </si>
  <si>
    <t>ΔΗΜΟΤΙΚΟ ΣΧΟΛΕΙΟ ΑΓΙΟΥ ΙΩΑΝΝΗ ΖΙΤΣΑΣ</t>
  </si>
  <si>
    <t>ΔΗΜΟΤΙΚΟ ΣΧΟΛΕΙΟ ΑΜΦΙΘΕΑΣ ΙΩΑΝΝΙΝΩΝ</t>
  </si>
  <si>
    <t>ΔΗΜΟΤΙΚΟ ΣΧΟΛΕΙΟ ΑΝΗΛΙΟΥ</t>
  </si>
  <si>
    <t>ΔΗΜΟΤΙΚΟ ΣΧΟΛΕΙΟ ΒΟΤΟΝΟΣΙΟΥ</t>
  </si>
  <si>
    <t>ΔΗΜΟΤΙΚΟ ΣΧΟΛΕΙΟ ΒΟΥΝΟΠΛΑΓΙΑΣ</t>
  </si>
  <si>
    <t>ΔΗΜΟΤΙΚΟ ΣΧΟΛΕΙΟ ΒΟΥΤΣΑΡΑ - ΔΟΜΠΟΛΕΙΟ</t>
  </si>
  <si>
    <t>ΔΗΜΟΤΙΚΟ ΣΧΟΛΕΙΟ ΔΙΣΤΡΑΤΟΥ</t>
  </si>
  <si>
    <t>ΔΗΜΟΤΙΚΟ ΣΧΟΛΕΙΟ ΔΡΟΣΟΧΩΡΙΟΥ</t>
  </si>
  <si>
    <t>ΔΗΜΟΤΙΚΟ ΣΧΟΛΕΙΟ ΕΛΛΗΝΙΚΟΥ ΙΩΑΝΝΙΝΩΝ</t>
  </si>
  <si>
    <t>ΔΗΜΟΤΙΚΟ ΣΧΟΛΕΙΟ ΕΠΙΣΚΟΠΙΚΟΥ</t>
  </si>
  <si>
    <t>ΔΗΜΟΤΙΚΟ ΣΧΟΛΕΙΟ ΖΙΤΣΑΣ</t>
  </si>
  <si>
    <t>ΔΗΜΟΤΙΚΟ ΣΧΟΛΕΙΟ Ι.Μ. ΡΩΜΑΝΟΥ</t>
  </si>
  <si>
    <t>ΔΗΜΟΤΙΚΟ ΣΧΟΛΕΙΟ ΚΑΛΠΑΚΙΟΥ</t>
  </si>
  <si>
    <t>ΔΗΜΟΤΙΚΟ ΣΧΟΛΕΙΟ ΚΑΤΣΙΚΑ</t>
  </si>
  <si>
    <t>ΔΗΜΟΤΙΚΟ ΣΧΟΛΕΙΟ ΚΑΤΩ ΚΡΥΦΟΒΟΥ</t>
  </si>
  <si>
    <t>ΔΗΜΟΤΙΚΟ ΣΧΟΛΕΙΟ ΚΕΦΑΛΟΒΡΥΣΟΥ</t>
  </si>
  <si>
    <t>ΔΗΜΟΤΙΚΟ ΣΧΟΛΕΙΟ ΚΛΗΜΑΤΙΑΣ</t>
  </si>
  <si>
    <t>ΔΗΜΟΤΙΚΟ ΣΧΟΛΕΙΟ ΚΟΥΤΣΕΛΙΟΥ</t>
  </si>
  <si>
    <t>ΔΗΜΟΤΙΚΟ ΣΧΟΛΕΙΟ ΚΡΑΝΟΥΛΑΣ</t>
  </si>
  <si>
    <t>ΔΗΜΟΤΙΚΟ ΣΧΟΛΕΙΟ ΛΟΓΓΑΔΩΝ</t>
  </si>
  <si>
    <t>ΔΗΜΟΤΙΚΟ ΣΧΟΛΕΙΟ ΜΕΤΑΜΟΡΦΩΣΗΣ ΙΩΑΝΝΙΝΩΝ</t>
  </si>
  <si>
    <t>ΔΗΜΟΤΙΚΟ ΣΧΟΛΕΙΟ ΜΕΤΣΟΒΟΥ - ΤΟΣΙΤΣΕΙΟ</t>
  </si>
  <si>
    <t>ΔΗΜΟΤΙΚΟ ΣΧΟΛΕΙΟ ΜΗΛΕΑΣ</t>
  </si>
  <si>
    <t>ΔΗΜΟΤΙΚΟ ΣΧΟΛΕΙΟ ΜΗΛΙΩΤΑΔΩΝ</t>
  </si>
  <si>
    <t>ΔΗΜΟΤΙΚΟ ΣΧΟΛΕΙΟ ΜΙΚΡΟΥ ΠΕΡΙΣΤΕΡΙΟΥ</t>
  </si>
  <si>
    <t>ΔΗΜΟΤΙΚΟ ΣΧΟΛΕΙΟ ΜΠΑΦΡΑΣ - ΝΕΟΚΑΙΣΑΡΕΙΑΣ</t>
  </si>
  <si>
    <t>ΔΗΜΟΤΙΚΟ ΣΧΟΛΕΙΟ ΝΕΑΣ ΜΟΥΣΙΩΤΙΤΣΑΣ</t>
  </si>
  <si>
    <t>ΔΗΜΟΤΙΚΟ ΣΧΟΛΕΙΟ ΠΑΠΙΓΚΟΥ</t>
  </si>
  <si>
    <t>ΔΗΜΟΤΙΚΟ ΣΧΟΛΕΙΟ ΠΑΡΑΚΑΛΑΜΟΥ</t>
  </si>
  <si>
    <t>ΔΗΜΟΤΙΚΟ ΣΧΟΛΕΙΟ ΠΕΔΙΝΗΣ</t>
  </si>
  <si>
    <t>ΔΗΜΟΤΙΚΟ ΣΧΟΛΕΙΟ ΠΕΡΑΜΑΤΟΣ ΙΩΑΝΝΙΝΩΝ</t>
  </si>
  <si>
    <t>ΔΗΜΟΤΙΚΟ ΣΧΟΛΕΙΟ ΠΟΤΑΜΙΑΣ ΚΟΥΚΛΕΣΙΟΥ</t>
  </si>
  <si>
    <t>ΔΗΜΟΤΙΚΟ ΣΧΟΛΕΙΟ ΠΡΑΜΑΝΤΩΝ</t>
  </si>
  <si>
    <t>ΔΗΜΟΤΙΚΟ ΣΧΟΛΕΙΟ ΡΟΔΟΤΟΠΙΟΥ</t>
  </si>
  <si>
    <t>ΔΗΜΟΤΙΚΟ ΣΧΟΛΕΙΟ ΣΤΑΥΡΑΚΙΟΥ</t>
  </si>
  <si>
    <t>1ο ΔΗΜΟΤΙΚΟ ΣΧΟΛΕΙΟ ΧΡΥΣΟΒΙΤΣΑΣ</t>
  </si>
  <si>
    <t>ΔΠΕ ΙΩΑΝΝΙΝΩΝ</t>
  </si>
  <si>
    <t>25ο ΔΗΜΟΤΙΚΟ ΣΧΟΛΕΙΟ ΙΩΑΝΝΙΝΩΝ</t>
  </si>
  <si>
    <t>3o ΔΗΜΟΤΙΚΟ ΣΧΟΛΕΙΟ ΑΝΑΤΟΛΗΣ</t>
  </si>
  <si>
    <t>ΔΗΜΟΤΙΚΟ ΣΧΟΛΕΙΟ ΑΣΒΕΣΤΟΧΩΡΙΟΥ ΙΩΑΝΝΙΝΩΝ</t>
  </si>
  <si>
    <t>ΔΗΜΟΤΙΚΟ ΣΧΟΛΕΙΟ ΔΕΛΒΙΝΑΚΙΟΥ</t>
  </si>
  <si>
    <t>ΔΗΜΟΤΙΚΟ ΣΧΟΛΕΙΟ ΖΩΟΔΟΧΟΥ</t>
  </si>
  <si>
    <t>ΔΗΜΟΤΙΚΟ ΣΧΟΛΕΙΟ ΚΕΦΑΛΟΧΩΡΙΟΥ</t>
  </si>
  <si>
    <t>ΔΗΜΟΤΙΚΟ ΣΧΟΛΕΙΟ ΚΟΝΤΙΝΩΝ - Δ. ΣΧ. ΚΟΝΤΙΝΩΝ</t>
  </si>
  <si>
    <t>ΔΗΜΟΤΙΚΟ ΣΧΟΛΕΙΟ ΜΑΤΣΟΥΚΙΟΥ</t>
  </si>
  <si>
    <t>ΔΗΜΟΤΙΚΟ ΣΧΟΛΕΙΟ ΠΛΑΤΑΝΟΥΣΑΣ</t>
  </si>
  <si>
    <t>ΔΗΜΟΤΙΚΟ ΣΧΟΛΕΙΟ ΤΣΕΠΕΛΟΒΟΥ</t>
  </si>
  <si>
    <t>ΕΙΔΙΚΟ ΔΗΜΟΤΙΚΟ ΣΧΟΛΕΙΟ ΣΩΜΑΤΙΚΑ ΑΝΑΠΗΡΩΝ ΠΑΙΔΙΩΝ ΙΩΑΝΝΙΝΩΝ</t>
  </si>
  <si>
    <t>1o ΝΗΠΙΑΓΩΓΕΙΟ ΕΛΕΟΥΣΑΣ</t>
  </si>
  <si>
    <t>ΝΗΠΙΑΓΩΓΕΙΟ ΠΛΑΤΑΝΟΥΣΑΣ</t>
  </si>
  <si>
    <t>Δημοτικά Σχολεία</t>
  </si>
  <si>
    <t>Νηπιαγωγεία</t>
  </si>
  <si>
    <t>ΜΑΡΜΑΡΩΝ</t>
  </si>
  <si>
    <t>ΑΒΓΟΥ</t>
  </si>
  <si>
    <t>ΚΡΥΑΣ</t>
  </si>
  <si>
    <t>ΑΝΗΛΙΟΥ</t>
  </si>
  <si>
    <t>ΒΟΤΟΝΟΣΙΟΥ</t>
  </si>
  <si>
    <t>ΒΟΥΝΟΠΛΑΓΙΑΣ</t>
  </si>
  <si>
    <t>ΔΡΟΣΟΧΩΡΙΟΥ</t>
  </si>
  <si>
    <t>ΕΠΙΣΚΟΠΙΚΟΥ</t>
  </si>
  <si>
    <t>ΖΩΟΔΟΧΟΥ</t>
  </si>
  <si>
    <t>ΡΩΜΑΝΟΥ</t>
  </si>
  <si>
    <t>ΚΕΦΑΛΟΒΡΥΣΟΥ</t>
  </si>
  <si>
    <t>ΚΕΦΑΛΟΧΩΡΙΟΥ</t>
  </si>
  <si>
    <t>ΚΛΗΜΑΤΙΑΣ</t>
  </si>
  <si>
    <t>ΚΟΝΤΙΝΩΝ</t>
  </si>
  <si>
    <t>ΚΡΑΝΟΥΛΑΣ</t>
  </si>
  <si>
    <t>ΜΑΤΣΟΥΚΙΟΥ</t>
  </si>
  <si>
    <t>ΜΗΛΙΩΤΑΔΩΝ</t>
  </si>
  <si>
    <t>ΝΕΟΚΑΙΣΑΡΕΙΑΣ</t>
  </si>
  <si>
    <t>ΠΛΑΤΑΝΟΥΣΑΣ</t>
  </si>
  <si>
    <t>ΡΟΔΟΤΟΠΙΟΥ</t>
  </si>
  <si>
    <t>ΤΣΕΠΕΛΟΒΟΥ</t>
  </si>
  <si>
    <t>ΒΟΒΟΥΣΑΣ</t>
  </si>
  <si>
    <t>ΒΟΥΤΣΑΡΑ</t>
  </si>
  <si>
    <t>ΓΟΡΙΤΣΑΣ</t>
  </si>
  <si>
    <t>ΜΠΑΦΡΑΣ</t>
  </si>
  <si>
    <t>ΝΕΟΧΩΡΟΠΟΥΛΟΥ</t>
  </si>
  <si>
    <t>ΠΛΑΤΑΝΙΑΣ</t>
  </si>
  <si>
    <t>ΑΓΙΑΣ ΜΑΡΙΝΑΣ ΚΡΥΑΣ</t>
  </si>
  <si>
    <t>ΑΓΙΟΥ ΙΩΑΝΝΗ</t>
  </si>
  <si>
    <t>ΑΜΦΙΘΕΑΣ</t>
  </si>
  <si>
    <t>ΑΣΒΕΣΤΟΧΩΡΙΟΥ</t>
  </si>
  <si>
    <t>ΕΛΛΗΝΙΚΟΥ</t>
  </si>
  <si>
    <t>ΚΑΤΩ ΚΡΥΦΟΒΟΥ</t>
  </si>
  <si>
    <t>ΜΙΚΡΟΥ ΠΕΡΙΣΤΕΡΙΟΥ</t>
  </si>
  <si>
    <t>ΝΕΑΣ ΜΟΥΣΙΩΤΙΤΣΑΣ</t>
  </si>
  <si>
    <t>ΠΟΤΑΜΙΑΣ ΚΟΥΚΛΕΣΙΟΥ</t>
  </si>
  <si>
    <t>1ο  ΔΗΜΟΤΙΚΟ ΣΧΟΛΕΙΟ ΗΓΟΥΜΕΝΙΤΣΑΣ</t>
  </si>
  <si>
    <t>1ο ΔΗΜΟΤΙΚΟ ΣΧΟΛΕΙΟ ΠΑΡΑΜΥΘΙΑΣ</t>
  </si>
  <si>
    <t>1ο ΔΗΜΟΤΙΚΟ ΣΧΟΛΕΙΟ ΦΙΛΙΑΤΩΝ - ΚΩΝΣΤΑΝΤΙΝΟΣ ΖΑΠΠΑΣ</t>
  </si>
  <si>
    <t>2ο ΔΗΜΟΤΙΚΟ ΣΧΟΛΕΙΟ ΗΓΟΥΜΕΝΙΤΣΑΣ</t>
  </si>
  <si>
    <t>2ο ΔΗΜΟΤΙΚΟ ΣΧΟΛΕΙΟ ΦΙΛΙΑΤΩΝ</t>
  </si>
  <si>
    <t>3/Θ ΔΗΜΟΤΙΚΟ ΣΧΟΛΕΙΟ ΝΕΡΑΪΔΑΣ</t>
  </si>
  <si>
    <t>3ο  ΔΗΜΟΤΙΚΟ ΣΧΟΛΕΙΟ ΗΓΟΥΜΕΝΙΤΣΑΣ</t>
  </si>
  <si>
    <t>4ο 12/ΘΕΣΙΟ ΔΗΜΟΤΙΚΟ ΣΧΟΛΕΙΟ ΗΓΟΥΜΕΝΙΤΣΑΣ</t>
  </si>
  <si>
    <t>5ο ΔΗΜΟΤΙΚΟ ΣΧΟΛΕΙΟ ΗΓΟΥΜΕΝΙΤΣΑΣ</t>
  </si>
  <si>
    <t>6/ΘΕΣΙΟ ΔΗΜΟΤΙΚΟ ΣΧΟΛΕΙΟ ΑΣΠΡΟΚΚΛΗΣΙΟΥ-ΣΑΓΙΑΔΑΣ</t>
  </si>
  <si>
    <t>6/ΘΕΣΙΟ ΔΗΜΟΤΙΚΟ ΣΧΟΛΕΙΟ ΠΕΡΔΙΚΑΣ</t>
  </si>
  <si>
    <t>9/Θ  ΔΗΜΟΤΙΚΟ ΣΧΟΛΕΙΟ ΓΡΑΙΚΟΧΩΡΙΟΥ</t>
  </si>
  <si>
    <t>ΔΗΜΟΤΙΚΟ ΣΧΟΛΕΙΟ ΓΛΥΚΗΣ</t>
  </si>
  <si>
    <t>ΔΗΜΟΤΙΚΟ ΣΧΟΛΕΙΟ ΚΑΣΤΡΙΟΥ ΘΕΣΠΡΩΤΙΑΣ</t>
  </si>
  <si>
    <t>ΔΗΜΟΤΙΚΟ ΣΧΟΛΕΙΟ ΛΕΠΤΟΚΑΡΥΑ</t>
  </si>
  <si>
    <t>ΔΗΜΟΤΙΚΟ ΣΧΟΛΕΙΟ ΜΑΖΑΡΑΚΙΑΣ</t>
  </si>
  <si>
    <t>ΔΗΜΟΤΙΚΟ ΣΧΟΛΕΙΟ ΜΑΡΓΑΡΙΤΙΟΥ</t>
  </si>
  <si>
    <t>ΔΗΜΟΤΙΚΟ ΣΧΟΛΕΙΟ ΝΕΑΣ ΣΕΛΕΥΚΕΙΑΣ</t>
  </si>
  <si>
    <t>ΔΗΜΟΤΙΚΟ ΣΧΟΛΕΙΟ ΞΗΡΟΛΟΦΟΥ &lt;&lt;ΑΡΧΑΙΑ ΕΛΕΑ&gt;&gt;</t>
  </si>
  <si>
    <t>ΔΗΜΟΤΙΚΟ ΣΧΟΛΕΙΟ ΠΑΡΑΠΟΤΑΜΟΥ</t>
  </si>
  <si>
    <t>ΔΗΜΟΤΙΚΟ ΣΧΟΛΕΙΟ ΠΛΑΤΑΡΙΑΣ - Δ.Σ.ΠΛΑΤΑΡΙΑΣ</t>
  </si>
  <si>
    <t>ΔΗΜΟΤΙΚΟ ΣΧΟΛΕΙΟ ΣΚΑΝΔΑΛΟΥ - ΓΑΡΔΙΚΙΟΥ</t>
  </si>
  <si>
    <t>ΔΗΜΟΤΙΚΟ ΣΧΟΛΕΙΟ ΣΥΒΟΤΩΝ</t>
  </si>
  <si>
    <t>ΕΙΔΙΚΟ ΔΗΜΟΤΙΚΟ ΣΧΟΛΕΙΟ ΗΓΟΥΜΕΝΙΤΣΑ</t>
  </si>
  <si>
    <t>ΟΛΟΗΜΕΡΟ ΔΗΜΟΤΙΚΟ ΣΧΟΛΕΙΟ ΣΟΥΛΙΟΥ</t>
  </si>
  <si>
    <t>1/Θ ΝΗΠΙΑΓΩΓΕΙΟ ΑΣΠΡΟΚΚΛΗΣΙΟΥ</t>
  </si>
  <si>
    <t>1ο 2/Θ ΝΗΠΙΑΓΩΓΕΙΟ ΗΓΟΥΜΕΝΙΤΣΑΣ</t>
  </si>
  <si>
    <t>1ο 2/ΘΕΣΙΟ ΝΗΠΙΑΓΩΓΕΙΟ ΦΙΛΙΑΤΩΝ</t>
  </si>
  <si>
    <t>1ο ΝΗΠΙΑΓΩΓΕΙΟ ΓΡΑΙΚΟΧΩΡΙΟΥ</t>
  </si>
  <si>
    <t>1ο ΝΗΠΙΑΓΩΓΕΙΟ ΝΕΑΣ ΣΕΛΕΥΚΕΙΑΣ</t>
  </si>
  <si>
    <t>1ο ΟΛΟΗΜΕΡΟ ΝΗΠΙΑΓΩΓΕΙΟ ΠΑΡΑΜΥΘΙΑΣ</t>
  </si>
  <si>
    <t>2/Θ ΝΗΠΙΑΓΩΓΕΙΟ ΓΑΡΔΙΚΙΟΥ</t>
  </si>
  <si>
    <t>2/θ ΝΗΠΙΑΓΩΓΕΙΟ ΜΑΡΓΑΡΙΤΙΟΥ</t>
  </si>
  <si>
    <t>2/Θ ΝΗΠΙΑΓΩΓΕΙΟ ΠΛΑΤΑΡΙΑΣ</t>
  </si>
  <si>
    <t>2/θέσιο  ΝΗΠΙΑΓΩΓΕΙΟ ΠΕΡΔΙΚΑΣ</t>
  </si>
  <si>
    <t>2ο 2/Θ ΝΗΠΙΑΓΩΓΕΙΟ ΓΡΑΙΚΟΧΩΡΙΟΥ</t>
  </si>
  <si>
    <t>2ο ΝΗΠΙΑΓΩΓΕΙΟ ΗΓΟΥΜΕΝΙΤΣΑΣ</t>
  </si>
  <si>
    <t>2ο ΝΗΠΙΑΓΩΓΕΙΟ ΠΑΡΑΜΥΘΙΑΣ</t>
  </si>
  <si>
    <t>2ο ΝΗΠΙΑΓΩΓΕΙΟ ΦΙΛΙΑΤΩΝ</t>
  </si>
  <si>
    <t>3ο ΝΗΠΙΑΓΩΓΕΙΟ ΗΓΟΥΜΕΝΙΤΣΑΣ</t>
  </si>
  <si>
    <t>3ο ΝΗΠΙΑΓΩΓΕΙΟ ΠΑΡΑΜΥΘΙΑΣ</t>
  </si>
  <si>
    <t>4ο ΝΗΠΙΑΓΩΓΕΙΟ ΗΓΟΥΜΕΝΙΤΣΑΣ</t>
  </si>
  <si>
    <t>5ο ΝΗΠΙΑΓΩΓΕΙΟ ΗΓΟΥΜΕΝΙΤΣΑΣ</t>
  </si>
  <si>
    <t>6ο ΝΗΠΙΑΓΩΓΕΙΟ ΗΓΟΥΜΕΝΙΤΣΑΣ</t>
  </si>
  <si>
    <t>7ο ΝΗΠΙΑΓΩΓΕΙΟ ΗΓΟΥΜΕΝΙΤΣΑΣ</t>
  </si>
  <si>
    <t>8ο ΝΗΠΙΑΓΩΓΕΙΟ ΗΓΟΥΜΕΝΙΤΣΑΣ</t>
  </si>
  <si>
    <t>ΕΙΔΙΚΟ ΝΗΠΙΑΓΩΓΕΙΟ ΗΓΟΥΜΕΝΙΤΣΑ</t>
  </si>
  <si>
    <t>ΝΗΠΙΑΓΩΓΕΙΟ ΑΓΙΟΣ ΒΛΑΣΙΟΣ - ΝΗΠΙΑΓΩΓΕΙΟ ΑΓΙΟΥ ΒΛΑΣΙΟΥ</t>
  </si>
  <si>
    <t>ΝΗΠΙΑΓΩΓΕΙΟ ΓΚΡΙΚΑΣ ΠΑΡΑΜΥΘΙΑΣ</t>
  </si>
  <si>
    <t>ΝΗΠΙΑΓΩΓΕΙΟ ΓΛΥΚΗΣ</t>
  </si>
  <si>
    <t>ΝΗΠΙΑΓΩΓΕΙΟ ΚΑΜΙΝΙΟΥ - ΝΗΠΙΑΓΩΓΕΙΟ ΠΡΟΔΡΟΜΙΟΥ</t>
  </si>
  <si>
    <t>ΝΗΠΙΑΓΩΓΕΙΟ ΚΑΡΒΟΥΝΑΡΙΟΥ</t>
  </si>
  <si>
    <t>ΝΗΠΙΑΓΩΓΕΙΟ ΛΑΔΟΧΩΡΙΟΥ</t>
  </si>
  <si>
    <t>ΝΗΠΙΑΓΩΓΕΙΟ ΛΕΠΤΟΚΑΡΥΑΣ ΦΙΛΙΑΤΩΝ ΘΕΣΠΡΩΤΙΑΣ</t>
  </si>
  <si>
    <t>ΝΗΠΙΑΓΩΓΕΙΟ ΜΑΥΡΟΥΔΙΟΥ</t>
  </si>
  <si>
    <t>ΝΗΠΙΑΓΩΓΕΙΟ ΝΕΡΑΪΔΑΣ</t>
  </si>
  <si>
    <t>ΝΗΠΙΑΓΩΓΕΙΟ ΠΑΡΑΠΟΤΑΜΟΥ</t>
  </si>
  <si>
    <t>ΝΗΠΙΑΓΩΓΕΙΟ ΣΑΓΙΑΔΑΣ</t>
  </si>
  <si>
    <t>ΝΗΠΙΑΓΩΓΕΙΟ ΣΥΒΟΤΩΝ</t>
  </si>
  <si>
    <t>ΝΗΠΙΑΓΩΓΕΙΟ ΤΣΑΓΓΑΡΙΟΥ</t>
  </si>
  <si>
    <t>ΔΠΕ ΘΕΣΠΡΩΤΙΑΣ</t>
  </si>
  <si>
    <t>ΣΑΓΙΑΔΑΣ</t>
  </si>
  <si>
    <t>ΓΛΥΚΗΣ</t>
  </si>
  <si>
    <t>ΓΡΑΙΚΟΧΩΡΙΟΥ</t>
  </si>
  <si>
    <t>ΚΑΣΤΡΙΟΥ</t>
  </si>
  <si>
    <t>ΛΕΠΤΟΚΑΡΥΑΣ</t>
  </si>
  <si>
    <t>ΞΗΡΟΛΟΦΟΥ</t>
  </si>
  <si>
    <t>ΠΑΡΑΠΟΤΑΜΟΥ</t>
  </si>
  <si>
    <t>ΣΥΒΟΤΩΝ</t>
  </si>
  <si>
    <t>ΑΣΠΡΟΚΚΛΗΣΙΟΥ</t>
  </si>
  <si>
    <t>ΠΡΟΔΡΟΜΙΟΥ</t>
  </si>
  <si>
    <t>ΚΑΡΒΟΥΝΑΡΙΟΥ</t>
  </si>
  <si>
    <t>ΤΣΑΓΓΑΡΙΟΥ</t>
  </si>
  <si>
    <t>ΑΓΙΟΥ ΒΛΑΣΙΟΥ</t>
  </si>
  <si>
    <t>ΓΚΡΙΚΑΣ</t>
  </si>
  <si>
    <t>ΛΑΔΟΧΩΡΙΟΥ</t>
  </si>
  <si>
    <t>ΜΑΥΡΟΥΔΙΟΥ</t>
  </si>
  <si>
    <t>1ο  ΔΗΜΟΤΙΚΟ ΣΧΟΛΕΙΟ ΚΑΝΑΛΛΑΚΙΟΥ</t>
  </si>
  <si>
    <t>1ο  ΔΗΜΟΤΙΚΟ ΣΧΟΛΕΙΟ ΠΑΡΓΑΣ</t>
  </si>
  <si>
    <t>1ο ΔΗΜΟΤΙΚΟ ΣΧΟΛΕΙΟ ΘΕΣΠΡΩΤΙΚΟΥ</t>
  </si>
  <si>
    <t>1ο ΔΗΜΟΤΙΚΟ ΣΧΟΛΕΙΟ ΠΡΕΒΕΖΑΣ</t>
  </si>
  <si>
    <t>1ο ΔΗΜΟΤΙΚΟ ΣΧΟΛΕΙΟ ΦΙΛΙΠΠΙΑΔΑΣ</t>
  </si>
  <si>
    <t>1ο ΕΙΔΙΚΟ ΔΗΜΟΤΙΚΟ ΣΧΟΛΕΙΟ ΠΡΕΒΕΖΑΣ</t>
  </si>
  <si>
    <t>2ο  ΔΗΜΟΤΙΚΟ ΣΧΟΛΕΙΟ ΠΑΡΓΑΣ</t>
  </si>
  <si>
    <t>2ο ΔΗΜΟΤΙΚΟ ΣΧΟΛΕΙΟ ΚΑΝΑΛΛΑΚΙΟΥ</t>
  </si>
  <si>
    <t>2ο ΔΗΜΟΤΙΚΟ ΣΧΟΛΕΙΟ ΠΡΕΒΕΖΑΣ</t>
  </si>
  <si>
    <t>2ο ΔΗΜΟΤΙΚΟ ΣΧΟΛΕΙΟ ΦΙΛΙΠΠΙΑΔΑΣ</t>
  </si>
  <si>
    <t>3ο  ΔΗΜΟΤΙΚΟ ΣΧΟΛΕΙΟ ΦΙΛΙΠΠΙΑΔΑΣ</t>
  </si>
  <si>
    <t>4ο ΔΗΜΟΤΙΚΟ ΣΧΟΛΕΙΟ ΠΡΕΒΕΖΑΣ</t>
  </si>
  <si>
    <t>5ο ΔΗΜΟΤΙΚΟ ΣΧΟΛΕΙΟ ΠΡΕΒΕΖΑΣ</t>
  </si>
  <si>
    <t>6ο ΔΗΜΟΤΙΚΟ ΣΧΟΛΕΙΟ ΠΡΕΒΕΖΑΣ</t>
  </si>
  <si>
    <t>7ο ΔΗΜΟΤΙΚΟ ΣΧΟΛΕΙΟ ΠΡΕΒΕΖΑΣ</t>
  </si>
  <si>
    <t>8ο ΔΗΜΟΤΙΚΟ ΣΧΟΛΕΙΟ ΠΡΕΒΕΖΑΣ</t>
  </si>
  <si>
    <t>ΔΗΜΟΤΙΚΟ ΣΧΟΛΕΙΟ ΑΓΙΑΣ ΠΡΕΒΕΖΑΣ</t>
  </si>
  <si>
    <t>ΔΗΜΟΤΙΚΟ ΣΧΟΛΕΙΟ ΑΓΙΟΥ ΓΕΩΡΓΙΟΥ ΠΡΕΒΕΖΗΣ</t>
  </si>
  <si>
    <t>ΔΗΜΟΤΙΚΟ ΣΧΟΛΕΙΟ ΑΝΘΟΥΣΑΣ</t>
  </si>
  <si>
    <t>ΔΗΜΟΤΙΚΟ ΣΧΟΛΕΙΟ ΒΟΥΒΟΠΟΤΑΜΟΥ</t>
  </si>
  <si>
    <t>ΔΗΜΟΤΙΚΟ ΣΧΟΛΕΙΟ ΚΑΝΑΛΙΟΥ</t>
  </si>
  <si>
    <t>ΔΗΜΟΤΙΚΟ ΣΧΟΛΕΙΟ ΛΟΥΡΟΥ ΠΡΕΒΕΖΑΣ</t>
  </si>
  <si>
    <t>ΔΗΜΟΤΙΚΟ ΣΧΟΛΕΙΟ ΜΕΣΟΠΟΤΑΜΟΥ</t>
  </si>
  <si>
    <t>ΔΗΜΟΤΙΚΟ ΣΧΟΛΕΙΟ ΜΥΤΙΚΑ ΠΡΕΒΕΖΑΣ</t>
  </si>
  <si>
    <t>ΔΗΜΟΤΙΚΟ ΣΧΟΛΕΙΟ Ν. ΩΡΩΠΟΥ</t>
  </si>
  <si>
    <t>ΔΗΜΟΤΙΚΟ ΣΧΟΛΕΙΟ ΝΕΑΣ ΚΕΡΑΣΟΥΝΤΑΣ</t>
  </si>
  <si>
    <t>ΔΗΜΟΤΙΚΟ ΣΧΟΛΕΙΟ ΝΕΑΣ ΣΙΝΩΠΗΣ</t>
  </si>
  <si>
    <t>ΔΗΜΟΤΙΚΟ ΣΧΟΛΕΙΟ ΝΕΟΣ ΓΟΡΓΟΜΥΛΟΣ</t>
  </si>
  <si>
    <t>ΔΗΜΟΤΙΚΟ ΣΧΟΛΕΙΟ ΠΑΝΤΟΚΡΑΤΟΡΑ ΠΡΕΒΕΖΑΣ</t>
  </si>
  <si>
    <t>ΔΗΜΟΤΙΚΟ ΣΧΟΛΕΙΟ ΧΕΙΜΑΔΙΟΥ ΠΡΕΒΕΖΑΣ</t>
  </si>
  <si>
    <t>ΔΗΜΟΤΙΚΟ ΣΧΟΛΕΙΟ ΚΕΡΑΣΩΝΑ</t>
  </si>
  <si>
    <t>1/θέσιο Νηπιαγωγείο Βαλανιδοράχης</t>
  </si>
  <si>
    <t>10ο ΝΗΠΙΑΓΩΓΕΙΟ ΠΡΕΒΕΖΑ</t>
  </si>
  <si>
    <t>11ο ΝΗΠΙΑΓΩΓΕΙΟ ΠΡΕΒΕΖΑΣ</t>
  </si>
  <si>
    <t>12ο ΝΗΠΙΑΓΩΓΕΙΟ ΠΡΕΒΕΖΑΣ</t>
  </si>
  <si>
    <t>13ο ΝΗΠΙΑΓΩΓΕΙΟ ΠΡΕΒΕΖΑΣ</t>
  </si>
  <si>
    <t>1ο ΕΙΔΙΚΟ ΝΗΠΙΑΓΩΓΕΙΟ ΠΡΕΒΕΖΑΣ</t>
  </si>
  <si>
    <t>1ο ΝΗΠΙΑΓΩΓΕΙΟ ΘΕΣΠΡΩΤΙΚΟΥ</t>
  </si>
  <si>
    <t>1ο ΝΗΠΙΑΓΩΓΕΙΟ ΚΑΝΑΛΛΑΚΙΟΥ</t>
  </si>
  <si>
    <t>1ο ΝΗΠΙΑΓΩΓΕΙΟ ΠΑΡΓΑΣ</t>
  </si>
  <si>
    <t>1ο ΝΗΠΙΑΓΩΓΕΙΟ ΠΡΕΒΕΖΑΣ</t>
  </si>
  <si>
    <t>1ο ΝΗΠΙΑΓΩΓΕΙΟ ΦΙΛΙΠΠΙΑΔΑΣ</t>
  </si>
  <si>
    <t>2ο ΝΗΠΙΑΓΩΓΕΙΟ ΘΕΣΠΡΩΤΙΚΟΥ</t>
  </si>
  <si>
    <t>2ο ΝΗΠΙΑΓΩΓΕΙΟ ΚΑΝΑΛΛΑΚΙΟΥ</t>
  </si>
  <si>
    <t>2ο ΝΗΠΙΑΓΩΓΕΙΟ ΠΑΡΓΑΣ</t>
  </si>
  <si>
    <t>2ο Νηπιαγωγειο Πρέβεζας</t>
  </si>
  <si>
    <t>2ο ΝΗΠΙΑΓΩΓΕΙΟ ΦΙΛΙΠΠΙΑΔΑ</t>
  </si>
  <si>
    <t>3ο ΝΗΠΙΑΓΩΓΕΙΟ ΦΙΛΙΠΠΙΑΔΑΣ- "Κώστας Κρυστάλλης"</t>
  </si>
  <si>
    <t>4ο  ΝΗΠΙΑΓΩΓΕΙΟ ΠΡΕΒΕΖΑΣ</t>
  </si>
  <si>
    <t>4ο ΝΗΠΙΑΓΩΓΕΙΟ ΦΙΛΙΠΠΙΑΔΑΣ</t>
  </si>
  <si>
    <t>5ο ΝΗΠΙΑΓΩΓΕΙΟ ΠΡΕΒΕΖΑΣ</t>
  </si>
  <si>
    <t>6ο ΝΗΠΙΑΓΩΓΕΙΟ ΠΡΕΒΕΖΑΣ</t>
  </si>
  <si>
    <t>7ο ΝΗΠΙΑΓΩΓΕΙΟ ΠΡΕΒΕΖΑΣ</t>
  </si>
  <si>
    <t>8ο ΝΗΠΙΑΓΩΓΕΙΟ ΠΡΕΒΕΖΑ</t>
  </si>
  <si>
    <t>9ο ΝΗΠΙΑΓΩΓΕΙΟ ΠΡΕΒΕΖΑΣ</t>
  </si>
  <si>
    <t>ΝΗΠΙΑΓΩΓΕΙΟ     ΑΡΧΑΓΓΕΛΟΥ  ΠΡΕΒΕΖΑΣ</t>
  </si>
  <si>
    <t>ΝΗΠΙΑΓΩΓΕΙΟ   ΤΥΡΙΑΣ</t>
  </si>
  <si>
    <t>ΝΗΠΙΑΓΩΓΕΙΟ ΑΓΙΑ ΠΑΡΓΑΣ</t>
  </si>
  <si>
    <t>ΝΗΠΙΑΓΩΓΕΙΟ ΑΓΙΟΣ ΓΕΩΡΓΙΟΣ</t>
  </si>
  <si>
    <t>ΝΗΠΙΑΓΩΓΕΙΟ ΑΝΘΟΥΣΑ</t>
  </si>
  <si>
    <t>ΝΗΠΙΑΓΩΓΕΙΟ ΒΟΥΒΟΠΟΤΑΜΟΥ</t>
  </si>
  <si>
    <t>ΝΗΠΙΑΓΩΓΕΙΟ ΚΑΝΑΛΙΟΥ ΠΡΕΒΕΖΑΣ</t>
  </si>
  <si>
    <t>ΝΗΠΙΑΓΩΓΕΙΟ ΚΑΣΤΡΟΣΥΚΙΑΣ</t>
  </si>
  <si>
    <t>ΝΗΠΙΑΓΩΓΕΙΟ ΛΟΥΡΟΥ</t>
  </si>
  <si>
    <t>ΝΗΠΙΑΓΩΓΕΙΟ ΜΕΣΟΠΟΤΑΜΟΥ</t>
  </si>
  <si>
    <t>ΝΗΠΙΑΓΩΓΕΙΟ ΜΥΤΙΚΑ ΠΡΕΒΕΖΑΣ</t>
  </si>
  <si>
    <t>ΝΗΠΙΑΓΩΓΕΙΟ Ν.ΩΡΩΠΟΣ</t>
  </si>
  <si>
    <t>ΝΗΠΙΑΓΩΓΕΙΟ ΝΕΑ ΚΕΡΑΣΟΥΝΤΑΣ</t>
  </si>
  <si>
    <t>ΝΗΠΙΑΓΩΓΕΙΟ ΝΕΑΣ ΣΑΜΨΟΥΝΤΑΣ</t>
  </si>
  <si>
    <t>ΝΗΠΙΑΓΩΓΕΙΟ ΝΕΑΣ ΣΙΝΩΠΗΣ-ΠΡΕΒΕΖΑΣ</t>
  </si>
  <si>
    <t>ΝΗΠΙΑΓΩΓΕΙΟ ΝΕΟΣ ΓΟΡΓΟΜΥΛΟΣ</t>
  </si>
  <si>
    <t>ΝΗΠΙΑΓΩΓΕΙΟ ΝΙΚΟΠΟΛΗΣ</t>
  </si>
  <si>
    <t>ΝΗΠΙΑΓΩΓΕΙΟ ΠΕΤΡΑΣ ΠΡΕΒΕΖΑΣ</t>
  </si>
  <si>
    <t>ΝΗΠΙΑΓΩΓΕΙΟ ΡΙΖΟΒΟΥΝΙΟΥ ΖΗΡΟΥ</t>
  </si>
  <si>
    <t>ΝΗΠΙΑΓΩΓΕΙΟ ΧΕΙΜΑΔΙΟ</t>
  </si>
  <si>
    <t>ΝΗΠΙΑΓΩΓΕΙΟ ΚΕΡΑΣΩΝΑ</t>
  </si>
  <si>
    <t>ΔΠΕ ΠΡΕΒΕΖΑΣ</t>
  </si>
  <si>
    <t>Όχι`</t>
  </si>
  <si>
    <t>ΑΓΙΑΣ</t>
  </si>
  <si>
    <t>ΑΓΙΟΥ ΓΕΩΡΓΙΟΥ</t>
  </si>
  <si>
    <t>ΑΝΘΟΥΣΑΣ</t>
  </si>
  <si>
    <t>ΒΟΥΒΟΠΟΤΑΜΟΥ</t>
  </si>
  <si>
    <t>ΚΑΝΑΛΙΟΥ</t>
  </si>
  <si>
    <t>ΜΕΣΟΠΟΤΑΜΟΥ</t>
  </si>
  <si>
    <t>ΜΥΤΙΚΑ</t>
  </si>
  <si>
    <t>Ν. ΩΡΩΠΟΥ</t>
  </si>
  <si>
    <t>ΝΕΑΣ ΚΕΡΑΣΟΥΝΤΑΣ</t>
  </si>
  <si>
    <t>ΝΕΑΣ ΣΙΝΩΠΗΣ</t>
  </si>
  <si>
    <t>ΝΕΟΥ ΓΟΡΓΟΜΥΛΟΥ</t>
  </si>
  <si>
    <t>ΠΑΝΤΟΚΡΑΤΟΡΑ</t>
  </si>
  <si>
    <t>ΧΕΙΜΑΔΙΟΥ</t>
  </si>
  <si>
    <t>ΚΕΡΑΣΩΝΑ</t>
  </si>
  <si>
    <t>ΒΑΛΑΝΙΔΟΡΑΧΗΣ</t>
  </si>
  <si>
    <t>ΑΡΧΑΓΓΕΛΟΥ</t>
  </si>
  <si>
    <t>ΤΥΡΙΑΣ</t>
  </si>
  <si>
    <t>ΚΑΣΤΡΟΣΥΚΙΑΣ</t>
  </si>
  <si>
    <t>ΝΙΚΟΠΟΛΗΣ</t>
  </si>
  <si>
    <t>ΠΕΤΡΑΣ</t>
  </si>
  <si>
    <t>ΡΙΖΟΒΟΥΝΙΟΥ</t>
  </si>
  <si>
    <t>1ο ΔΗΜΟΤΙΚΟ ΣΧΟΛΕΙΟ ΑΡΤΑΣ</t>
  </si>
  <si>
    <t>1ο ΕΙΔΙΚΟ ΔΗΜΟΤΙΚΟ ΣΧΟΛΕΙΟ ΑΡΤΑΣ</t>
  </si>
  <si>
    <t>2ο ΔΗΜΟΤΙΚΟ ΣΧΟΛΕΙΟ ΑΡΤΑΣ</t>
  </si>
  <si>
    <t>3ο ΔΗΜΟΤΙΚΟ ΣΧΟΛΕΙΟ ΑΡΤΑΣ</t>
  </si>
  <si>
    <t>4ο ΔΗΜΟΤΙΚΟ ΣΧΟΛΕΙΟ ΑΡΤΑΣ</t>
  </si>
  <si>
    <t>5ο ΔΗΜΟΤΙΚΟ ΣΧΟΛΕΙΟ ΑΡΤΑΣ</t>
  </si>
  <si>
    <t>6ο ΔΗΜΟΤΙΚΟ ΣΧΟΛΕΙΟ ΑΡΤΑΣ</t>
  </si>
  <si>
    <t>7ο ΔΗΜΟΤΙΚΟ ΣΧΟΛΕΙΟ ΑΡΤΑΣ</t>
  </si>
  <si>
    <t>8ο ΔΗΜΟΤΙΚΟ ΣΧΟΛΕΙΟ ΑΡΤΑΣ</t>
  </si>
  <si>
    <t>9ο ΔΗΜΟΤΙΚΟ ΣΧΟΛΕΙΟ ΑΡΤΑΣ</t>
  </si>
  <si>
    <t>ΔΗΜΟΤΙΚΟ ΣΧΟΛΕΙΟ  ΑΓΙΟΥ ΣΠΥΡΙΔΩΝΑ</t>
  </si>
  <si>
    <t>ΔΗΜΟΤΙΚΟ ΣΧΟΛΕΙΟ ΑΓΙΑΣ ΠΑΡΑΣΚΕΥΗΣ ΑΡΤΑΣ</t>
  </si>
  <si>
    <t>ΔΗΜΟΤΙΚΟ ΣΧΟΛΕΙΟ ΑΓΙΟΥ ΔΗΜΗΤΡΙΟΥ - ΠΕΤΑ</t>
  </si>
  <si>
    <t>ΔΗΜΟΤΙΚΟ ΣΧΟΛΕΙΟ ΑΓΙΟΥ ΧΑΡΑΛΑΜΠΟΥΣ ΚΑΤΩ ΑΘΑΜΑΝΙΟΥ</t>
  </si>
  <si>
    <t>ΔΗΜΟΤΙΚΟ ΣΧΟΛΕΙΟ ΑΓΙΩΝ ΑΝΑΡΓΥΡΩΝ ΑΡΤΑΣ</t>
  </si>
  <si>
    <t>ΔΗΜΟΤΙΚΟ ΣΧΟΛΕΙΟ ΑΘΑΜΑΝΙΟΥ</t>
  </si>
  <si>
    <t>ΔΗΜΟΤΙΚΟ ΣΧΟΛΕΙΟ ΑΜΜΟΤΟΠΟΥ</t>
  </si>
  <si>
    <t>ΔΗΜΟΤΙΚΟ ΣΧΟΛΕΙΟ ΑΜΠΕΛΙΩΝ ΑΜΜΟΤΟΠΟΥ</t>
  </si>
  <si>
    <t>ΔΗΜΟΤΙΚΟ ΣΧΟΛΕΙΟ ΑΜΦΙΘΕΑΣ ΠΕΤΑ</t>
  </si>
  <si>
    <t>ΔΗΜΟΤΙΚΟ ΣΧΟΛΕΙΟ ΑΝΕΖΑΣ</t>
  </si>
  <si>
    <t>ΔΗΜΟΤΙΚΟ ΣΧΟΛΕΙΟ ΑΝΩ ΚΑΛΕΝΤΙΝΗΣ</t>
  </si>
  <si>
    <t>ΔΗΜΟΤΙΚΟ ΣΧΟΛΕΙΟ ΒΙΓΛΑΣ</t>
  </si>
  <si>
    <t>ΔΗΜΟΤΙΚΟ ΣΧΟΛΕΙΟ ΒΟΥΡΓΑΡΕΛΙΟΥ</t>
  </si>
  <si>
    <t>ΔΗΜΟΤΙΚΟ ΣΧΟΛΕΙΟ ΓΑΒΡΙΑΣ</t>
  </si>
  <si>
    <t>ΔΗΜΟΤΙΚΟ ΣΧΟΛΕΙΟ ΓΡΑΜΜΕΝΙΤΣΑΣ</t>
  </si>
  <si>
    <t>ΔΗΜΟΤΙΚΟ ΣΧΟΛΕΙΟ ΕΛΕΟΥΣΑΣ ΑΡΤΑΣ</t>
  </si>
  <si>
    <t>ΔΗΜΟΤΙΚΟ ΣΧΟΛΕΙΟ ΚΑΛΑΜΙΑΣ</t>
  </si>
  <si>
    <t>ΔΗΜΟΤΙΚΟ ΣΧΟΛΕΙΟ ΚΑΛΟΒΑΤΟΥ</t>
  </si>
  <si>
    <t>ΔΗΜΟΤΙΚΟ ΣΧΟΛΕΙΟ ΚΑΜΠΗΣ</t>
  </si>
  <si>
    <t>ΔΗΜΟΤΙΚΟ ΣΧΟΛΕΙΟ ΚΕΡΑΜΑΤΩΝ</t>
  </si>
  <si>
    <t>ΔΗΜΟΤΙΚΟ ΣΧΟΛΕΙΟ ΚΙΡΚΙΖΑΤΩΝ ΑΡΤΑΣ</t>
  </si>
  <si>
    <t>ΔΗΜΟΤΙΚΟ ΣΧΟΛΕΙΟ ΚΟΜΜΕΝΟΥ</t>
  </si>
  <si>
    <t>ΔΗΜΟΤΙΚΟ ΣΧΟΛΕΙΟ ΚΟΜΠΟΤΙΟΥ</t>
  </si>
  <si>
    <t>ΔΗΜΟΤΙΚΟ ΣΧΟΛΕΙΟ ΚΟΡΦΟΒΟΥΝΙΟΥ</t>
  </si>
  <si>
    <t>ΔΗΜΟΤΙΚΟ ΣΧΟΛΕΙΟ ΚΥΨΕΛΗΣ ΑΡΤΑΣ</t>
  </si>
  <si>
    <t>ΔΗΜΟΤΙΚΟ ΣΧΟΛΕΙΟ ΚΩΣΤΑΚΙΩΝ</t>
  </si>
  <si>
    <t>ΔΗΜΟΤΙΚΟ ΣΧΟΛΕΙΟ ΛΟΥΤΡΟΤΟΠΟΥ</t>
  </si>
  <si>
    <t>ΔΗΜΟΤΙΚΟ ΣΧΟΛΕΙΟ ΜΕΓΑΡΧΗΣ ΑΡΤΑΣ</t>
  </si>
  <si>
    <t>ΔΗΜΟΤΙΚΟ ΣΧΟΛΕΙΟ ΜΕΣΟΠΥΡΓΟΥ</t>
  </si>
  <si>
    <t>ΔΗΜΟΤΙΚΟ ΣΧΟΛΕΙΟ ΜΕΣΟΥΝΤΑΣ</t>
  </si>
  <si>
    <t>ΔΗΜΟΤΙΚΟ ΣΧΟΛΕΙΟ ΜΗΛΕΩΝ ΠΗΓΩΝ</t>
  </si>
  <si>
    <t>ΔΗΜΟΤΙΚΟ ΣΧΟΛΕΙΟ ΝΕΟΧΩΡΙΟΥ ΑΡΤΑΣ</t>
  </si>
  <si>
    <t>ΔΗΜΟΤΙΚΟ ΣΧΟΛΕΙΟ ΠΑΛΑΙΟΚΑΤΟΥΝΟΥ</t>
  </si>
  <si>
    <t>ΔΗΜΟΤΙΚΟ ΣΧΟΛΕΙΟ ΠΑΝΑΓΙΑΣ ΔΙΑΣΕΛΛΟΥ</t>
  </si>
  <si>
    <t>ΔΗΜΟΤΙΚΟ ΣΧΟΛΕΙΟ ΠΕΡΔΙΚΟΡΡΑΧΗΣ ΚΛΕΙΔΙΟΥ</t>
  </si>
  <si>
    <t>ΔΗΜΟΤΙΚΟ ΣΧΟΛΕΙΟ ΠΕΤΑ</t>
  </si>
  <si>
    <t>ΔΗΜΟΤΙΚΟ ΣΧΟΛΕΙΟ ΠΕΤΡΑΣ</t>
  </si>
  <si>
    <t>ΔΗΜΟΤΙΚΟ ΣΧΟΛΕΙΟ ΠΛΑΤΑΝΟΥ ΑΣΤΡΟΧΩΡΙΟΥ</t>
  </si>
  <si>
    <t>ΔΗΜΟΤΙΚΟ ΣΧΟΛΕΙΟ ΠΟΛΥΔΡΟΣΟΥ</t>
  </si>
  <si>
    <t>ΔΗΜΟΤΙΚΟ ΣΧΟΛΕΙΟ ΡΑΜΙΑΣ ΑΡΤΑΣ</t>
  </si>
  <si>
    <t>ΔΗΜΟΤΙΚΟ ΣΧΟΛΕΙΟ ΡΑΧΗΣ</t>
  </si>
  <si>
    <t>ΔΗΜΟΤΙΚΟ ΣΧΟΛΕΙΟ ΡΟΔΑΥΓΗΣ</t>
  </si>
  <si>
    <t>ΔΗΜΟΤΙΚΟ ΣΧΟΛΕΙΟ ΣΚΟΥΛΗΚΑΡΙΑΣ</t>
  </si>
  <si>
    <t>ΔΗΜΟΤΙΚΟ ΣΧΟΛΕΙΟ ΤΕΤΡΑΚΩΜΟΥ</t>
  </si>
  <si>
    <t>ΔΗΜΟΤΙΚΟ ΣΧΟΛΕΙΟ ΧΑΛΚΙΑΔΩΝ</t>
  </si>
  <si>
    <t>10ο  ΝΗΠΙΑΓΩΓΕΙΟ ΑΡΤΑ</t>
  </si>
  <si>
    <t>11ο ΝΗΠΙΑΓΩΓΕΙΟ ΑΡΤΑΣ</t>
  </si>
  <si>
    <t>12ο ΝΗΠΙΑΓΩΓΕΙΟ ΑΡΤΑΣ</t>
  </si>
  <si>
    <t>1ο ΝΗΠΙΑΓΩΓΕΙΟ ΑΡΤΑΣ</t>
  </si>
  <si>
    <t>2/Θ ΝΗΠΙΑΓΩΓΕΙΟ ΑΓΙΩΝ ΑΝΑΡΓΥΡΩΝ</t>
  </si>
  <si>
    <t>2ο ΝΗΠΙΑΓΩΓΕΙΟ ΑΡΤΑΣ</t>
  </si>
  <si>
    <t>3ο ΝΗΠΙΑΓΩΓΕΙΟ ΑΡΤΑΣ</t>
  </si>
  <si>
    <t>4ο ΝΗΠΙΑΓΩΓΕΙΟ ΑΡΤΑΣ</t>
  </si>
  <si>
    <t>5ο ΝΗΠΙΑΓΩΓΕΙΟ ΑΡΤΑΣ</t>
  </si>
  <si>
    <t>6ο ΝΗΠΙΑΓΩΓΕΙΟ ΑΡΤΑΣ</t>
  </si>
  <si>
    <t>7ο ΝΗΠΙΑΓΩΓΕΙΟ ΑΡΤΑΣ</t>
  </si>
  <si>
    <t>8ο ΝΗΠΙΑΓΩΓΕΙΟ ΑΡΤΑΣ</t>
  </si>
  <si>
    <t>9ο ΝΗΠΙΑΓΩΓΕΙΟ ΑΡΤΑΣ</t>
  </si>
  <si>
    <t>ΕΙΔΙΚΟ ΝΗΠΙΑΓΩΓΕΙΟ ΑΡΤΑΣ</t>
  </si>
  <si>
    <t>ΝΗΠΙΑΓΩΓΕΙΟ ΑΓΙΑΣ ΠΑΡΑΣΚΕΥΗΣ ΑΡΤΑΣ</t>
  </si>
  <si>
    <t>ΝΗΠΙΑΓΩΓΕΙΟ ΑΓΙΟΣ ΔΗΜΗΤΡΙΟΣ ΠΕΤΑ</t>
  </si>
  <si>
    <t>ΝΗΠΙΑΓΩΓΕΙΟ ΑΓΙΟΥ ΣΠΥΡΙΔΩΝΑ</t>
  </si>
  <si>
    <t>ΝΗΠΙΑΓΩΓΕΙΟ ΑΘΑΜΑΝΙΟΥ</t>
  </si>
  <si>
    <t>ΝΗΠΙΑΓΩΓΕΙΟ ΑΜΜΟΤΟΠΟΥ</t>
  </si>
  <si>
    <t>ΝΗΠΙΑΓΩΓΕΙΟ ΑΜΦΙΘΕΑΣ - ΠΕΤΑ</t>
  </si>
  <si>
    <t>ΝΗΠΙΑΓΩΓΕΙΟ ΑΝΕΖΑΣ</t>
  </si>
  <si>
    <t>ΝΗΠΙΑΓΩΓΕΙΟ ΑΝΩ ΚΑΛΕΝΤΙΝΗΣ</t>
  </si>
  <si>
    <t>ΝΗΠΙΑΓΩΓΕΙΟ ΓΑΒΡΙΑΣ</t>
  </si>
  <si>
    <t>ΝΗΠΙΑΓΩΓΕΙΟ ΓΡΑΜΜΕΝΙΤΣΑΣ ΑΡΤΑΣ</t>
  </si>
  <si>
    <t>ΝΗΠΙΑΓΩΓΕΙΟ ΕΛΕΟΥΣΑΣ ΑΡΤΑΣ</t>
  </si>
  <si>
    <t>ΝΗΠΙΑΓΩΓΕΙΟ ΚΑΛΑΜΙΑ</t>
  </si>
  <si>
    <t>ΝΗΠΙΑΓΩΓΕΙΟ ΚΑΛΟΒΑΤΟΥ</t>
  </si>
  <si>
    <t>ΝΗΠΙΑΓΩΓΕΙΟ ΚΑΜΠΗΣ</t>
  </si>
  <si>
    <t>ΝΗΠΙΑΓΩΓΕΙΟ ΚΕΡΑΜΑΤΩΝ</t>
  </si>
  <si>
    <t>ΝΗΠΙΑΓΩΓΕΙΟ ΚΛΕΙΔΙΟΥ</t>
  </si>
  <si>
    <t>ΝΗΠΙΑΓΩΓΕΙΟ ΚΟΜΠΟΤΙΟΥ</t>
  </si>
  <si>
    <t>ΝΗΠΙΑΓΩΓΕΙΟ ΚΟΡΦΟΒΟΥΝΙΟΥ</t>
  </si>
  <si>
    <t>ΝΗΠΙΑΓΩΓΕΙΟ ΚΥΨΕΛΗ</t>
  </si>
  <si>
    <t>ΝΗΠΙΑΓΩΓΕΙΟ ΚΩΣΤΑΚΙΟΙ ΑΡΤΑΣ</t>
  </si>
  <si>
    <t>ΝΗΠΙΑΓΩΓΕΙΟ ΜΕΣΟΠΥΡΓΟΣ</t>
  </si>
  <si>
    <t>ΝΗΠΙΑΓΩΓΕΙΟ ΝΕΟΧΩΡΙΟΥ ΑΡΤΑΣ</t>
  </si>
  <si>
    <t>ΝΗΠΙΑΓΩΓΕΙΟ ΠΑΛΑΙΟΚΑΤΟΥΝΟΥ</t>
  </si>
  <si>
    <t>ΝΗΠΙΑΓΩΓΕΙΟ ΠΑΝΑΓΙΑΣ ΔΙΑΣΕΛΛΟΥ</t>
  </si>
  <si>
    <t>ΝΗΠΙΑΓΩΓΕΙΟ ΠΕΤΑ</t>
  </si>
  <si>
    <t>ΝΗΠΙΑΓΩΓΕΙΟ ΠΕΤΡΑΣ</t>
  </si>
  <si>
    <t>ΝΗΠΙΑΓΩΓΕΙΟ ΠΛΑΤΑΝΟΣ ΑΣΤΡΟΧΩΡΙΟΥ</t>
  </si>
  <si>
    <t>ΝΗΠΙΑΓΩΓΕΙΟ ΠΟΛΥΔΡΟΣΟ</t>
  </si>
  <si>
    <t>ΝΗΠΙΑΓΩΓΕΙΟ ΡΑΜΙΑΣ</t>
  </si>
  <si>
    <t>ΝΗΠΙΑΓΩΓΕΙΟ ΡΑΧΗ</t>
  </si>
  <si>
    <t>ΝΗΠΙΑΓΩΓΕΙΟ ΡΟΔΑΥΓΗ</t>
  </si>
  <si>
    <t>ΝΗΠΙΑΓΩΓΕΙΟ ΣΚΟΥΛΗΚΑΡΙΑΣ</t>
  </si>
  <si>
    <t>ΝΗΠΙΑΓΩΓΕΙΟ ΧΑΛΚΙΑΔΩΝ</t>
  </si>
  <si>
    <t>ΝΗΠΙΑΓΩΓΕΙΟ ΧΑΝΟΠΟΥΛΟΥ</t>
  </si>
  <si>
    <t>ΔΠΕ ΑΡΤΑΣ</t>
  </si>
  <si>
    <t>Αρταίων</t>
  </si>
  <si>
    <t>Νικολάου Σκουφά</t>
  </si>
  <si>
    <t>Κεντρικών Τζουμέρκων</t>
  </si>
  <si>
    <t>Γεωργίου Καραϊσκάκη</t>
  </si>
  <si>
    <t>Δ.Υ.</t>
  </si>
  <si>
    <t>-</t>
  </si>
  <si>
    <t>ΑΓΙΟΥ ΣΠΥΡΙΔΩΝΑ</t>
  </si>
  <si>
    <t>ΑΓΙΑΣ ΠΑΡΑΣΚΕΥΗΣ</t>
  </si>
  <si>
    <t>ΑΓΙΟΥ ΔΗΜΗΤΡΙΟΥ</t>
  </si>
  <si>
    <t>ΑΓΙΟΥ ΧΑΡΑΛΑΜΠΟΥΣ</t>
  </si>
  <si>
    <t>ΑΓΙΩΝ ΑΝΑΡΓΥΡΩΝ</t>
  </si>
  <si>
    <t>ΑΘΑΜΑΝΙΟΥ</t>
  </si>
  <si>
    <t>ΑΜΜΟΤΟΠΟΥ</t>
  </si>
  <si>
    <t>ΒΙΓΛΑΣ</t>
  </si>
  <si>
    <t>ΓΑΒΡΙΑΣ</t>
  </si>
  <si>
    <t>ΓΡΑΜΜΕΝΙΤΣΑΣ</t>
  </si>
  <si>
    <t>ΚΑΛΑΜΙΑΣ</t>
  </si>
  <si>
    <t>ΚΑΛΟΒΑΤΟΥ</t>
  </si>
  <si>
    <t>ΚΑΜΠΗΣ</t>
  </si>
  <si>
    <t>ΚΕΡΑΜΑΤΩΝ</t>
  </si>
  <si>
    <t>ΑΜΠΕΛΙΩΝ</t>
  </si>
  <si>
    <t>ΚΙΡΚΙΖΑΤΩΝ</t>
  </si>
  <si>
    <t>ΚΟΜΜΕΝΟΥ</t>
  </si>
  <si>
    <t>ΚΥΨΕΛΗΣ</t>
  </si>
  <si>
    <t>ΚΩΣΤΑΚΙΩΝ</t>
  </si>
  <si>
    <t>ΛΟΥΤΡΟΤΟΠΟΥ</t>
  </si>
  <si>
    <t>ΜΕΓΑΡΧΗΣ</t>
  </si>
  <si>
    <t>ΜΕΣΟΠΥΡΓΟΥ</t>
  </si>
  <si>
    <t>ΜΕΣΟΥΝΤΑΣ</t>
  </si>
  <si>
    <t>ΜΗΛΕΩΝ ΠΗΓΩΝ</t>
  </si>
  <si>
    <t>ΠΑΝΑΓΙΑΣ ΔΙΑΣΕΛΟΥ</t>
  </si>
  <si>
    <t>ΠΕΡΔΙΚΟΡΡΑΧΗΣ</t>
  </si>
  <si>
    <t>ΠΛΑΤΑΝΟΥ ΑΣΤΡΟΧΩΡΙΟΥ</t>
  </si>
  <si>
    <t>ΠΟΛΥΔΡΟΣΟΥ</t>
  </si>
  <si>
    <t>ΡΑΜΙΑΣ</t>
  </si>
  <si>
    <t>ΡΑΧΗΣ</t>
  </si>
  <si>
    <t>ΡΟΔΑΥΓΗΣ</t>
  </si>
  <si>
    <t>ΠΑΛΑΙΟΚΑΤΟΥΝΟΥ</t>
  </si>
  <si>
    <t>ΣΚΟΥΛΗΚΑΡΙΑΣ</t>
  </si>
  <si>
    <t>ΤΕΤΡΑΚΩΜΟΥ</t>
  </si>
  <si>
    <t>ΧΑΛΚΙΑΔΩΝ</t>
  </si>
  <si>
    <t>ΚΛΕΙΔΙΟΥ</t>
  </si>
  <si>
    <t>ΚΟΡΦΟΒΟΥΝΙΟΥ</t>
  </si>
  <si>
    <t>ΧΑΝΟΠΟΥΛΟΥ</t>
  </si>
  <si>
    <t>Κωδικός σχολείου</t>
  </si>
  <si>
    <t>ΔΗΜΟΤΙΚΟ ΣΧΟΛΕΙΟ ΒΟΒΟΥΣΑΣ</t>
  </si>
  <si>
    <t>3ο ΔΗΜΟΤΙΚΟ ΣΧΟΛΕΙΟ ΠΡΕΒΕΖΑΣ</t>
  </si>
  <si>
    <t>1, Διάφορες Κατασκευές στα μαθήματα της τεχνολογίας, των θετικών επιστημών,οικιακή οικονομία κλπ</t>
  </si>
  <si>
    <t>1, ομοίως</t>
  </si>
  <si>
    <t>Εργαστήριο Πληροφορικής 7 θέσεων (1 SERVER, 7 ΗΥ, 1 ΕΚΤΥΠΩΤΗΣ, 7 ΑΚΟΥΣΤΙΚΑ)</t>
  </si>
  <si>
    <t xml:space="preserve">1 To σχολείο συμμετέχει σε σχετικό πρόγραμμα Erasmus+ </t>
  </si>
  <si>
    <t>1 Το σχολείο συμμετέχει σε σχετικό πρόγραμμα Εrasmus+</t>
  </si>
  <si>
    <t xml:space="preserve">1. Ο εκτυπωτής θα χρησιμοποιηθεί στα πλαίσια του μαθήματος της Πληροφορικής, Εργαστήρια Δεξιοτήτων καθώς και στα Ευρωπαϊκά Προγράμματα. </t>
  </si>
  <si>
    <t>1. Ο εκτυπωτής θα χρησιμοποιηθεί στα πλαίσια του μαθήματος της Πληροφορικής, Εργαστήρια Δεξιοτήτων καθώς και στα Ευρωπαϊκά Προγράμματα.</t>
  </si>
  <si>
    <t>1 (Για χρήση στη διδασκαλία κυρίως των μαθημάτων πληροφορικής και τεχνολογίας, αλλά και στα υπόλοιπα μαθήματα).</t>
  </si>
  <si>
    <t>1 (Για χρήση στη διδασκαλία κυρίως των μαθημάτων πληροφορικής και τεχνολογίας, αλλά και στα υπόλοιπα μαθήματα)</t>
  </si>
  <si>
    <t>Εργαστήριο Πληροφορικής 12 θέσεων (1 SERVER, 12 ΗΥ, 1 ΕΚΤΥΠΩΤΗΣ, 12 ΑΚΟΥΣΤΙΚΑ)</t>
  </si>
  <si>
    <t>1. Συμμετοχή του Μουσικού Σχολείου Άρτας σε διαγωνισμούς</t>
  </si>
  <si>
    <t>1. οι μαθητές μας, όλοι μαθητές με ειδικές ανάγκες, δυσκολεύονται να διακρίνουν αντικείμενα με απλή εκτύπωση. Η τρισδιάστατη εκτύπωση θα τα βοηθήσει να αναγνωρίζουν με μεγαλύτερη ευκολία τα αντικείμενα αφού για την εκπαίδευσή τους δεν υπάρχουν εξιδεικευμένα σχολικά βιβλία και χρησιμοποιούμε συνεχώς τον εκτυπωτή.</t>
  </si>
  <si>
    <t>ΟΧΙ</t>
  </si>
  <si>
    <t>2 εκτυπωτές για εκτύπωση εργασιών των μαθητών</t>
  </si>
  <si>
    <t>1ος εκτυπωτής για αίθoυσα μηχανολόγων και 2ος για αίθουσα δομικών έργων</t>
  </si>
  <si>
    <t>1. Στα πλαίσια του μαθήματος της Πληροφορικής ο 3d printer είναι απαραίτητος για την εκτύπωση αντικειμένων στο πλαίσιο της ρομποτικής.</t>
  </si>
  <si>
    <t>ΔΥΟ (02) ΛΕΙΤΟΥΡΓΟΥΜΕ ΕΡΓΑΣΤΗΡΙΟ ΤΕΧΝΟΛΟΓΙΑΣ ΚΑΙ ΚΑΛΛΙΤΕΧΝΙΚΩΝ ΚΑΙ ΔΙΑΘΕΤΟΥΜΕ ΑΊΘΟΥΣΑ ΠΑΡΑΓΩΓΗΣ ΣΧΟΛΙΚΩΝ ΤΑΙΝΙΩΝΑ Π</t>
  </si>
  <si>
    <t>ΔΥΟ (02) ΛΕΙΤΟΥΡΓΟΥΜΕ ΕΡΓΑΣΤΗΡΙΟ ΤΕΧΝΟΛΟΓΙΑΣ ΚΑΙ ΚΑΛΛΙΤΕΧΝΙΚΩΝ ΚΑΙ ΔΙΑΘΕΤΟΥΜΕ ΑΊΘΟΥΣΑ ΠΑΡΑΓΩΓΗΣ ΣΧΟΛΙΚΩΝ ΤΑΙΝΙΩΝ</t>
  </si>
  <si>
    <t>1 ΓΙΑ ΤΑ ΕΡΓΑΣΤΗΡΙΑ</t>
  </si>
  <si>
    <t>1(ΓΙΑ ΤΑ ΕΡΓΑΣΤΗΡΙΑ)</t>
  </si>
  <si>
    <t>1 για συμμετοχή του σχολείου σε προγράμματα STEM</t>
  </si>
  <si>
    <t>1 ( Προβλέπετε στα αναλυτικά προγράμματα σπουδών)</t>
  </si>
  <si>
    <t>1 Για την εκτύπωση μαθητικών έργων</t>
  </si>
  <si>
    <t>ΠΡΑΚΤΙΚΗ ΣΤΟ ΕΡΓΑΣΤΗΡΙΟ ΠΛΗΡΟΦΟΡΙΚΗΣ</t>
  </si>
  <si>
    <t>1 Για την πραγματοποίηση ενός project που απαιτεί τρισδιάστατη εκτύπωση</t>
  </si>
  <si>
    <t>ΓΙΑ ΧΡΗΣΗ ΣΤΟ ΜΑΘΗΜΑ ΤΗΣ ΤΕΧΝΟΛΟΓΙΑΣ ΚΑΙ ΕΙΚΑΣΤΙΚΩΝ</t>
  </si>
  <si>
    <t>1 ΓΙΑ ΧΡΗΣΗ ΣΤΟ ΜΑΘΗΜΑ ΤΗΣ ΤΕΧΝΟΛΟΓΙΑΣ ΚΑΙ ΕΙΚΑΣΤΙΚΩΝ</t>
  </si>
  <si>
    <t>1 ΕΡΓΟΘΕΡΑΠΕΊΑ ΚΑΙ ΑΣΚΗΣΕΙΣ ΛΕΠΤΗΣ ΚΙΝΗΤΙΚΟΤΗΤΑΣ</t>
  </si>
  <si>
    <t>1  για εκπαιδευτικούς σκοπούς</t>
  </si>
  <si>
    <t>ΕΠΙΘΥΜΟΥΜΕ ΤΗΝ ΑΠΟΚΤΗΣΗ ΕΝΟΣ ΤΡΙΣΔΙΑΣΤΑΤΟΥ ΕΚΤΥΠΩΤΗΓΙΑ ΤΙΣ ΑΝΑΓΚΕΣ ΤΩΝ ΕΡΓΑΣΤΗΡΙΩΝ ΦΥΣΙΚΗΣ ΚΑΙ ΤΕΧΝΟΛΟΓΙΑΣ</t>
  </si>
  <si>
    <t>2-για τις ανάγκες των μαθημάτων βιολογίας, τεχνολογίας και καλλιτεχνικών</t>
  </si>
  <si>
    <t>1 ΓΙΑ ΝΑ ΧΡΗΣΙΜΟΠΟΙΗΘΕΙ ΣΤΑ ΜΑΘΗΜΑΤΑ ΤΕΧΝΟΛΟΓΙΑΣ ΚΑΙ ΔΕΞΙΟΤΗΤΩΝ</t>
  </si>
  <si>
    <t>1 (Για το μάθημα της Τεχνολογίας)</t>
  </si>
  <si>
    <t>2( με τα νέα προγράμματα σπουδών είναι απαραίτητη η χρήση του για υλοποίηση stem δραστηριοτήτων)</t>
  </si>
  <si>
    <t>1( με τα νέα προγράμματα σπουδών είναι απαραίτητη η χρήση του για υλοποίηση stem δραστηριοτήτων)</t>
  </si>
  <si>
    <t>1 (είναι απαραίτητος λόγω τομέα- ειδικότητας πληροφορικής)</t>
  </si>
  <si>
    <t>1 (λόγω τομέα-ειδικότητας πληροφορικής)</t>
  </si>
  <si>
    <t>2 ΥΠΟΣΤΗΡΙΞΗ  ΕΚΠΑΙΔΕΥΤΙΚΩΝ ΠΡΟΓΡΑΜΜΑΤΩΝ</t>
  </si>
  <si>
    <t>1 ΥΠΟΣΤΗΡΙΞΗ ΕΚΠΑΙΔΕΥΤΙΚΩΝ ΠΡΟΓΡΑΜΜΑΤΩΝ</t>
  </si>
  <si>
    <t>2. χρήση για την κατασκευή έργων για τα μάθηματα Ερευνητική Εργασία, Χημεία, Βιολογία, Ζώνη Δημιουργικών Δραστηριότητων, για τον όμιλο Φυσικών Επιστημών</t>
  </si>
  <si>
    <t>2 . χρήση για την κατασκευή έργων για τα μάθηματα Ερευνητική Εργασία, Χημεία, Βιολογία, Ζώνη Δημιουργικών Δραστηριότητων, για τον όμιλο Φυσικών Επιστημών</t>
  </si>
  <si>
    <t>1 ΣΥΜΜΕΤΟΧΗ ΣΕ ΠΡΟΓΡΑΜΜΑ</t>
  </si>
  <si>
    <t>1 στο πλαίσιο λειτουργίας ομίλου Πληροφορικής-Ρομποτικής</t>
  </si>
  <si>
    <t>1 τρισδιάστατο εκτυπωτή: χρήση για την κατασκευή έργων για τα μάθηματα Ερευνητική Εργασία, Χημεία, Βιολογία, Ζώνη Δημιουργικών Δραστηριότητων, για τον όμιλο Φυσικών Επιστημών ScIeNCe LaB.Δημιουργούμε τρισδιάστατα μοριακά μοντέλα χημικών μορίων για τη Χημεία, όργανα του ανθρωπίνου σώματος για τη Βιολογία,  κτίρια, οχήματα, αντικείμενα για τη Ζώνη Δημιουργικών δραστηριότητων, ατομικά μοντέλα , όργανα πειραμάτων, συσκευές για τον όμιλο Φυσικών Επιστημών. Δυνατότητα συμμετοχής σε μαθητικούς διαγωνισμούς. Ήδη ένα μοντέλο εγκεφάλου (δημιουργία μαθητών με δανεικό τρισδιάστατο εκτυπωτή)κοσμεί το Μουσείο Επιστημών και Τεχνολογίας του Πανεπιστημίου Πατρών</t>
  </si>
  <si>
    <t>1 τρισδιάστατο σαρωτή,χρήση για την κατασκευή έργων για τα μάθηματα Ερευνητική Εργασία, Χημεία, Βιολογία, Ζώνη Δημιουργικών Δραστηριότητων, για τον όμιλο Φυσικών Επιστημών ScIeNCe LaB. Για χρήση όπως αναφέρουμε και για τον τρισδιάστατο εκτυπωτή.</t>
  </si>
  <si>
    <t>1 Για χρήση σε προγράμματα ρομποτικής.</t>
  </si>
  <si>
    <t>1 ΕΡΓΑΣΤΗΡΙΟ ΠΛΗΡΟΦΟΡΙΚΗΣ</t>
  </si>
  <si>
    <t>=</t>
  </si>
  <si>
    <t>Οχι</t>
  </si>
  <si>
    <t>1 για το εργαστήριο δεξιοτήτων</t>
  </si>
  <si>
    <t>1  για το εργαστήριο δεξιοτήτων</t>
  </si>
  <si>
    <t>1 ΓΙΑ ΤΟ ΕΡΓΑΣΤΗΡΙΟ ΤΠΕ</t>
  </si>
  <si>
    <t>1 για την προσωμοιωση αντικειμένων, πειραμάτων πχ αναπαράσταση του διαστηματος, του ανθρωπίνου σώματος</t>
  </si>
  <si>
    <t>1 Ανάπτυξη stem δραστηριοτήτων για την ενίσχυση δεξιoτήτων Stem στα κορίτσια και την καταπολέμηση έμφυλων στερεοτύπων στα stem επαγγέλματα.</t>
  </si>
  <si>
    <t>1 (Η χρήση του αναμένεται να αξιοποιηθεί στο πλαίσιο συμμετοχής της σχολικής μονάδας σε καινοτόμα, διεθνή εκπαιδευτικά προγράμματα, επιδιώκοντας τη βελτίωση του πλαισίου μάθησης)</t>
  </si>
  <si>
    <t>1 ΕΙΝΑΙ ΚΑΤΙ ΠΟΥ ΕΜΠΛΟΥΤΙΖΕΙ ΤΗ ΖΩΗ ΤΟΥ ΝΗΠ/ΓΕΙΟΥ</t>
  </si>
  <si>
    <t>1, ΑΠΑΡΑΙΤΗΤΟΣ ΓΙΑ ΣΥΜΜΕΤΟΧΗ ΣΕ ΔΙΑΓΩΝΙΣΜΟΥΣ</t>
  </si>
  <si>
    <t>1.ΤΑ ΠΑΙΔΙΑ  ΜΠΟΡΟΥΝ ΝΑ ΣΧΕΔΙΑΣΟΥΝ ΑΝΤΙΚΕΙΜΕΝΑ ΟΠΩΣ ΠΑΙΧΝΙΔΙΑ,ΣΧΗΜΑΤΑ,ΖΩΑ ΚΑΙ ΒΛΕΠΟΥΝ ΤΙΣ ΙΔΕΕΣ ΤΟΥς ΝΑ ΓΙΝΟΝΤΑΙ ΠΡΑΓΜΑΤΙΚΟΤΗΤΑΤΙΚΕΙΜΕΝΑ ΟΠΩΣ ΠΑΙΧΝΙΔΙΑ,ΣΧΗΜΑΤΑ,ΑΠΛΕΣ ΚΑΤΑΣΚΕΥΕΣ ΔΙΝΟΝΤΑΣ ΤΟΥΣ ΤΗ ΔΥΝΑΤΟΤΗΤΑ ΝΑ ΔΟΥΝ ΤΙΣ  ΙΔΕΕΣ ΤΟΥΣ</t>
  </si>
  <si>
    <t>Χρειαζόμαστε ένα (1) διότι η σχολική μας μονάδα συμμετέχει σε ευρωπαϊκά προγράμματα ERASMUS + με βασικό θεματικό άξονα την αξιοποίηση των ΤΠΕ  στην εκπαιδευτική διαδικασία και την STEAM ως μεθοδολογικό εργαλείο στην σχολική τάξη.</t>
  </si>
  <si>
    <t>Έναν (1) για παιδαγωγικούς λόγους</t>
  </si>
  <si>
    <t xml:space="preserve">1 (Για την υλοποίηση προγραμμάτων ρομποτικής και για τα εργαστήριο δεξιοτήτων). </t>
  </si>
  <si>
    <t>1 (ΓΙΑ ΔΙΔΑΚΙΤΚΗ ΧΡΗΣΗ ΣΤΟ ΕΡΓΑΣΤΗΡΙΟ Φ.Ε)</t>
  </si>
  <si>
    <t>1 (ΓΙΑ ΔΙΔΑΚΤΙΚΗ ΧΡΗΣΗ ΣΤΟ ΕΡΓΑΣΤΗΡΙΟ Φ.Ε)</t>
  </si>
  <si>
    <t>οχι</t>
  </si>
  <si>
    <t>1 για κατασκευή εκπαιδευτικών παιχνιδιών</t>
  </si>
  <si>
    <t>1   Για τις ανάγκες του μαθήματος Ρομποτικής</t>
  </si>
  <si>
    <t>1  Για τις ανάγκες του μαθήματος Ρομποτικής</t>
  </si>
  <si>
    <t>1 για χρήση στο μάθημα ΤΠΕ</t>
  </si>
  <si>
    <t>1 για τις ανάγκες των projects της πληροφορικής</t>
  </si>
  <si>
    <t>1 - Να εξοπλιστει το νηπιαγωγείο μας με όλα τα συγχρονα μεσα .Το νηπιαγωγείο μας εχει μεγαλο αριθμό μαθητών και ειναι ενα απο τα μεγαλύτερα νηπιαγωγεία στην Άνω πολη της Άρτας. Ει;ναι καλό να έχουμε ώστε να γνωριζουν οι μαθητες όλα τα νεα κια σύγχρονα μέσα αλλά και με την βοήθεια των εκπαιδευτικών να μπορούν να κατασκευάσουν ένα αντικείμενο με το σκανάρισμα</t>
  </si>
  <si>
    <t>1Να εξοπλιστει το νηπιαγωγείο μας με όλα τα συγχρονα μεσα .Το νηπιαγωγείο μας εχει μεγαλο αριθμό μαθητών και ειναι ενα απο τα μεγαλύτερα νηπιαγωγεία στην Άνω πολη της Άρτας. Ει;ναι καλό να έχουμε ώστε να γνωριζουν οι μαθητες όλα τα νεα κια σύγχρονα μέσα αλλά και με την βοήθεια των εκπαιδευτικών να μπορούν να κατασκευάσουν ένα αντικείμενο με το σκανάρισμα</t>
  </si>
  <si>
    <t>Η ΧΡΗΣΗ ΤΟΥ ΠΡΟΟΡΙΖΕΤΑΙ ΓΙΑ ΤΗΝ ΕΞΥΠΗΡΕΤΗΣΗ ΜΑς ΣΕ ΚΑΙΝΟΤΟΜΑ ΠΡΟΓΡΑΜΜΑΤΑ</t>
  </si>
  <si>
    <t>1 ΕΚΤΥΠΩΣΕΙΣ ΕΡΓΑΣΤΗΡΙΩΝ ΔΕΞΙΟΤΗΤΩΝ ΚΑΙ ΝΕΟΥ ΑΝΑΛΥΤΙΚΟΥ ΠΡΟΓΡΑΜΜΑΤΟΣ ΝΗΠΙΑΓΩΓΕΙΩΝ</t>
  </si>
  <si>
    <t xml:space="preserve">1 Βελτίωση της συμμετοχής των μαθητών, ενθάρρυνση της δημιουργικής σκέψης,  προώθηση της ενεργητικής μάθησης ,  αύξηση του ενδιαφέροντος των μαθητών για την εκπαίδευση STEM,  παροχή ευκαιριών για εξάσκηση διαφορετικών μαθησιακών στυλ. διευκολύνει την εφαρμογή εννοιών όπως «μάθηση μέσω πράξης», «βιωματική μάθηση και αποτυχία» και «ικανοποίηση κατά τη μάθηση». Ενθαρρύνει το δημιουργικό πειραματισμό,  διευκολύνει διαθεματικές και διεπιστημονικές προσεγγίσεις. </t>
  </si>
  <si>
    <t>Μαθητικό 
Δυναμικό</t>
  </si>
  <si>
    <r>
      <t xml:space="preserve">ΝΑΙ 
</t>
    </r>
    <r>
      <rPr>
        <sz val="11"/>
        <color rgb="FF000000"/>
        <rFont val="Calibri"/>
        <family val="2"/>
        <charset val="161"/>
      </rPr>
      <t>(ΑΠΌ ΝΟΜΙΜΟΠΟΙΗΣΗ)</t>
    </r>
  </si>
  <si>
    <t>Αριθμός σταθερών ηλεκτρονικών υπολογιστών (desktop) που ζητήθηκαν</t>
  </si>
  <si>
    <t>Αριθμός σταθερών ηλεκτρονικών υπολογιστών (desktop) που θα πάρουν</t>
  </si>
  <si>
    <t>Αριθμός φορητών ηλεκτρονικών υπολογιστών (laptop) που ζητήθηκαν</t>
  </si>
  <si>
    <t>Αριθμός φορητών ηλεκτρονικών υπολογιστών (laptop) που θα πάρουν</t>
  </si>
  <si>
    <t>Αριθμός επιτραπέζιων βιντεοπροβολέων (short throw projector) που ζητήθηκαν</t>
  </si>
  <si>
    <t>Αριθμός επιτραπέζιων βιντεοπροβολέων (short throw projector) που θα πάρουν</t>
  </si>
  <si>
    <t>Αριθμός επιτοίχιων βιντεοπροβολέων (ultra short throw wifi projector) που ζητήθηκαν</t>
  </si>
  <si>
    <t>Αριθμός επιτοίχιων βιντεοπροβολέων (ultra short throw wifi projector) που θα πάρουν</t>
  </si>
  <si>
    <t>Αριθμός απρόμαυρων πολυμηχανημάτων Α4 που ζητήθηκαν</t>
  </si>
  <si>
    <t>Αριθμός απρόμαυρων πολυμηχανημάτων Α4 που θα πάρουν</t>
  </si>
  <si>
    <t>Αριθμός απρόμαυρων πολυμηχανημάτων Α3 που ζητήθηκαν</t>
  </si>
  <si>
    <t>Αριθμός απρόμαυρων πολυμηχανημάτων Α3 που θα πάρουν</t>
  </si>
  <si>
    <t>Αριθμός έγχρωμων πολυμηχανημάτων Α4 που ζητήθηκαν</t>
  </si>
  <si>
    <t>Αριθμός έγχρωμων πολυμηχανημάτων Α4 που θα πάρουν</t>
  </si>
  <si>
    <t>Αριθμός ασύρματων σημείων πρόσβασης (access point) που ζητήθηκαν</t>
  </si>
  <si>
    <t>Αριθμός ασύρματων σημείων πρόσβασης (access point) που θα πάρουν</t>
  </si>
  <si>
    <t>Αριθμός εξυπηρετητών (High-end workstation for server function) που ζητήθηκαν</t>
  </si>
  <si>
    <t>Αριθμός εξυπηρετητών (High-end workstation for server function) που θα πάρουν</t>
  </si>
  <si>
    <t>Αριθμός τρισδιάστατων εκτυπωτών (3d printer) που ζητήθηκαν</t>
  </si>
  <si>
    <t>Αριθμός τρισδιάστατων εκτυπωτών (3d printer) που θα πάρουν</t>
  </si>
  <si>
    <t>Αριθμός τρισδιάστατων σαρωτών (3d scanner) που ζητήθηκαν</t>
  </si>
  <si>
    <t>Αριθμός τρισδιάστατων σαρωτών (3d scanner) που θα πάρουν</t>
  </si>
  <si>
    <t>Αριθμός διαδραστικών συστημάτων που ζητήθηκαν</t>
  </si>
  <si>
    <t>Αριθμός διαδραστικών συστημάτων που θα πάρουν</t>
  </si>
  <si>
    <t>Διαδραστική συσκευή αλληλεπιδραστικών δραστηριοτήτων (αφορά μόνο ΝΗΠΙΑΓΩΓΕΙΑ) που ζητήθηκαν</t>
  </si>
  <si>
    <t>Διαδραστική συσκευή αλληλεπιδραστικών δραστηριοτήτων (αφορά μόνο ΝΗΠΙΑΓΩΓΕΙΑ) που θα πάρουν</t>
  </si>
  <si>
    <t>Ολόκληρο Εργαστήριο Πληροφορικής που ζητήθηκαν</t>
  </si>
  <si>
    <t>Ολόκληρο Εργαστήριο Πληροφορικής που θα πάρουν</t>
  </si>
  <si>
    <t>0+Z329:Z339</t>
  </si>
  <si>
    <t>ΦΕΚ  ίδρυσης</t>
  </si>
  <si>
    <t>Υπάρχει δυνατότητα πρόσβασης ΑΜΕΑ στο σχολείο</t>
  </si>
  <si>
    <t>ΡΑΜΠΕΣ 
(Δεν έχουν)</t>
  </si>
  <si>
    <t xml:space="preserve">ΡΑΜΠΕΣ 
(Για όροφο) 
</t>
  </si>
  <si>
    <t>Υπάρχουν λειτουργικές τουαλέτες ΑΜΕΑ;</t>
  </si>
  <si>
    <t>ΤΟΥΑΛ. Αμεα (Δεν έχουν)</t>
  </si>
  <si>
    <t xml:space="preserve">Φοιτούν στο σχολείο παιδιά που ανήκουν σε ευάλωτες κοινωνικές ομάδες; </t>
  </si>
  <si>
    <t>Το σχολείο βρίσκεται σε ορεινή/απομακρυσμένη περιοχή;</t>
  </si>
  <si>
    <t>Υπάρχει ανάγκη για επέκταση του κτιρίου; (δεν ισχύει για μισθωμένα ή παλαιά κτίρια)</t>
  </si>
  <si>
    <t>0401010</t>
  </si>
  <si>
    <t>Δεν φοιτούν μαθητές/τριες από ευάλωτες κοινωνικές ομάδες</t>
  </si>
  <si>
    <t>0401020</t>
  </si>
  <si>
    <t>0401030</t>
  </si>
  <si>
    <t>Ναι, Υπάρχουν ράμπες για πρόσβαση στο ισόγειο του σχολείου.</t>
  </si>
  <si>
    <t>Ρομά</t>
  </si>
  <si>
    <t>0401031</t>
  </si>
  <si>
    <t>Δεν φοιτούν μαθητές/τριες από ευάλωτες κοινωνικές ομάδες, ΛΕΙΤΟΥΡΓΕΙ ΤΜΗΜΑ ΕΝΤΑΞΗΣ (20 ΜΑΘΗΤΕΣ ΠΟΥ ΧΩΡΙΖΟΝΤΑΙ ΣΕ 5 ΥΠΟΟΜΑΔΕΣ)</t>
  </si>
  <si>
    <t>0401032</t>
  </si>
  <si>
    <t>ΝΑΙ 
(ΑΠΌ ΝΟΜΙΜΟΠΟΙΗΣΗ)</t>
  </si>
  <si>
    <t>0402010</t>
  </si>
  <si>
    <t>0404010</t>
  </si>
  <si>
    <t>0403010</t>
  </si>
  <si>
    <t>0401015</t>
  </si>
  <si>
    <t>0408010</t>
  </si>
  <si>
    <t>0401040</t>
  </si>
  <si>
    <t>Μόνο στο ισόγειο</t>
  </si>
  <si>
    <t>0406010</t>
  </si>
  <si>
    <t>0413010</t>
  </si>
  <si>
    <t>Υπάρχει πρόσβαση στο ισόγειο αλλά στον όροφο που βρίσκονται οι αίθουσες διδασκαλίας όχι</t>
  </si>
  <si>
    <t>0407010</t>
  </si>
  <si>
    <t>0412010</t>
  </si>
  <si>
    <t>0411010</t>
  </si>
  <si>
    <t>0413020</t>
  </si>
  <si>
    <t>ΞΕΧΩΡΙΣΤΕΣ</t>
  </si>
  <si>
    <t>0401035</t>
  </si>
  <si>
    <t>ΝΑΙ ΜΟΝΟ ΣΤΟ ΙΣΟΓΕΙΟ ΤΟΥ ΚΕΝΤΡΙΚΟΥ ΚΤΗΡΙΟΥ ΚΑΙ ΣΤΑ ΕΡΓΑΣΤΗΡΙΑ ΜΟΥΣΙΚΩΝ ΕΙΔΙΚΕΥΣΕΩΝ ΠΟΥ ΒΡΙΣΚΟΝΤΑΙ ΣΕ ΔΙΠΛΑΝΟ ΚΤΗΡΙΟ (ΠΡΩΗΝ ΔΗΜΑΡΧΕΙΟ Δ.Ε. ΦΙΛΟΘΕΗΣ)</t>
  </si>
  <si>
    <t xml:space="preserve">Δεν φοιτούν μαθητές/τριες από ευάλωτες κοινωνικές ομάδες, ΦΟΙΤΟΥΝ ΛΙΓΑ ΠΑΙΔΙΑ ΑΠΟ ΧΑΜΗΛΑ ΚΟΙΝΩΝΙΚΟΟΙΚΟΝΟΜΙΚΑ ΣΤΡΩΜΑΤΑ </t>
  </si>
  <si>
    <t>Όχι, ΦΟΙΤΟΥΝ ΚΑΙ 2 ΠΑΙΔΙΑ ΠΟΥ ΜΕΤΑΚΙΝΟΥΝΤΑΙ ΚΑΘΗΜΕΡΙΝΑ ΑΠΟ ΟΡΕΙΝΗ ΠΕΡΙΟΧΗ</t>
  </si>
  <si>
    <t>0441001</t>
  </si>
  <si>
    <t>Υπάρχει πρόσβαση μόνο για το ισόγειο. Δεν υπάρχει πρόσβαση στις αίθουσες του πρώτου όροφου και στις αίθουσες του υπογείου</t>
  </si>
  <si>
    <t>Μετανάστες/Πρόσφυγες</t>
  </si>
  <si>
    <t>0404000</t>
  </si>
  <si>
    <t>0440025</t>
  </si>
  <si>
    <t>ΑΛΟΔΑΠΟΙ</t>
  </si>
  <si>
    <t>0440030</t>
  </si>
  <si>
    <t>0441000</t>
  </si>
  <si>
    <t>0457010</t>
  </si>
  <si>
    <t>Δεν φοιτούν μαθητές/τριες από ευάλωτες κοινωνικές ομάδες, Μετανάστες/Πρόσφυγες</t>
  </si>
  <si>
    <t>0451010</t>
  </si>
  <si>
    <t>0451020</t>
  </si>
  <si>
    <t>0451030</t>
  </si>
  <si>
    <t>0451031</t>
  </si>
  <si>
    <t>0453010</t>
  </si>
  <si>
    <t>0462010</t>
  </si>
  <si>
    <t>0451015</t>
  </si>
  <si>
    <t>0458010</t>
  </si>
  <si>
    <t>0454010</t>
  </si>
  <si>
    <t>0456010</t>
  </si>
  <si>
    <t>1801010</t>
  </si>
  <si>
    <t>1803010</t>
  </si>
  <si>
    <t>1801011</t>
  </si>
  <si>
    <t>Υπάρχει πρόσβαση στην 1 από τις 2 εισόδους του Σχολείου</t>
  </si>
  <si>
    <t>Ρομά, Τάξη ΖΕΠ, Μετανάστες/Πρόσφυγες</t>
  </si>
  <si>
    <t>1801012</t>
  </si>
  <si>
    <t>1811201</t>
  </si>
  <si>
    <t>Χαμηλού οικονομικο - κοινωνικού προφίλ</t>
  </si>
  <si>
    <t>1801015</t>
  </si>
  <si>
    <t>Από σημείο στο οποίο δεν έχουμε ελεύθερη πρόσβαση</t>
  </si>
  <si>
    <t>1806010</t>
  </si>
  <si>
    <t>Μακριά από την πρωτεύουσα του νομού</t>
  </si>
  <si>
    <t>1804010</t>
  </si>
  <si>
    <t>1807010</t>
  </si>
  <si>
    <t xml:space="preserve">Χρειάζεται μόνο ένα σκαλοπάτι να διαμορφωθεί  </t>
  </si>
  <si>
    <t>Υπάρχουν τουαλέτες αλλά δεν είναι δημιουργικές.</t>
  </si>
  <si>
    <t>Μαθητές με χαμηλά οικογενειακά εισοδήματα</t>
  </si>
  <si>
    <t>Σε παραμεθόριο περιοχή</t>
  </si>
  <si>
    <t>1805010</t>
  </si>
  <si>
    <t>1802010</t>
  </si>
  <si>
    <t>1804090</t>
  </si>
  <si>
    <t>1802050</t>
  </si>
  <si>
    <t>1809000</t>
  </si>
  <si>
    <t>1841001</t>
  </si>
  <si>
    <t>1840035</t>
  </si>
  <si>
    <t>1840040</t>
  </si>
  <si>
    <t>1848000</t>
  </si>
  <si>
    <t>Όχι, Η ΕΞΩΤΕΡΙΚΗ ΠΡΟΣΒΑΣΗ ΔΕΝ ΕΙΝΑΙ ΔΥΝΑΤΗ (ΑΠΟ ΤΗΝ ΠΕΡΙΦΡΑΞΗ) ΚΑΙ ΔΕΝ ΥΠΑΡΧΕΙ ΠΡΟΣΒΑΣΗ ΣΤΟΝ ΠΡΩΤΟ ΟΡΟΦΟ</t>
  </si>
  <si>
    <t>1851010</t>
  </si>
  <si>
    <t>ΡΑΜΠΑ ΓΙΑ ΤΙΣ ΑΙΘΟΥΣΕΣ ΤΟΥ ΙΣΟΓΕΙΟΥ ΜΟΝΟ</t>
  </si>
  <si>
    <t>1852010</t>
  </si>
  <si>
    <t>ΟΧΙ ΣΕ ΟΛΕΣ ΤΙΣ ΑΙΘΟΥΣΕΣ</t>
  </si>
  <si>
    <t>1851009</t>
  </si>
  <si>
    <t>Τάξη ΖΕΠ</t>
  </si>
  <si>
    <t>1851015</t>
  </si>
  <si>
    <t>Υπάρχει αλλά από χώρο στον οποίο δεν έχουμε άμεση πρόσβαση.</t>
  </si>
  <si>
    <t>1854010</t>
  </si>
  <si>
    <t>1853010</t>
  </si>
  <si>
    <t>Μόνο στο ισόγειο όπου στεγάζεται το Γυμνάσιο Φιλιατών</t>
  </si>
  <si>
    <t>Μαθητές από απομακρυσμένες περιοχές ή Αλβανία που διαμένουν στο Κέντρο παιδικής μέριμνας αρρένων Φιλιατών</t>
  </si>
  <si>
    <t>2001077</t>
  </si>
  <si>
    <t>2001078</t>
  </si>
  <si>
    <t>2001010</t>
  </si>
  <si>
    <t>2003020</t>
  </si>
  <si>
    <t>Μαθητές που ανήκουν σε ευάλωτες κοινωνικές ομάδες</t>
  </si>
  <si>
    <t>2007010</t>
  </si>
  <si>
    <t>2001020</t>
  </si>
  <si>
    <t>Ρομά, Μετανάστες/Πρόσφυγες</t>
  </si>
  <si>
    <t>2001065</t>
  </si>
  <si>
    <t>2001021</t>
  </si>
  <si>
    <t>2001040</t>
  </si>
  <si>
    <t>Τάξη ΖΕΠ, Μετανάστες/Πρόσφυγες</t>
  </si>
  <si>
    <t>2001070</t>
  </si>
  <si>
    <t>2001071</t>
  </si>
  <si>
    <t>2001072</t>
  </si>
  <si>
    <t>2001073</t>
  </si>
  <si>
    <t>2001075</t>
  </si>
  <si>
    <t>2003010</t>
  </si>
  <si>
    <t>2015010</t>
  </si>
  <si>
    <t>Ναι, Μόνο στο ισόγειο</t>
  </si>
  <si>
    <t>Ναι, Μόνο στις τουαλέτες των κοριτσιών</t>
  </si>
  <si>
    <t>2050960</t>
  </si>
  <si>
    <t>2001050</t>
  </si>
  <si>
    <t>βλ. 4ο ΓΥΜΝΑΣΙΟ ΙΩΑΝΝΙΝΩΝ</t>
  </si>
  <si>
    <t>2017010</t>
  </si>
  <si>
    <t>2001060</t>
  </si>
  <si>
    <t>2001081</t>
  </si>
  <si>
    <t>2016090</t>
  </si>
  <si>
    <t>2011010</t>
  </si>
  <si>
    <t xml:space="preserve">Ρομά, Παιδιά της Κιβωτού του κόσμου </t>
  </si>
  <si>
    <t>2014010</t>
  </si>
  <si>
    <t>Ρομά, Τάξη ΖΕΠ</t>
  </si>
  <si>
    <t>2006010</t>
  </si>
  <si>
    <t>ημιορεινή</t>
  </si>
  <si>
    <t>2012010</t>
  </si>
  <si>
    <t>2004010</t>
  </si>
  <si>
    <t>2012070</t>
  </si>
  <si>
    <t>2018010</t>
  </si>
  <si>
    <t>2015090</t>
  </si>
  <si>
    <t>2005010</t>
  </si>
  <si>
    <t>2012050</t>
  </si>
  <si>
    <t>2001061</t>
  </si>
  <si>
    <t>2009010</t>
  </si>
  <si>
    <t>2001079</t>
  </si>
  <si>
    <t>2001030</t>
  </si>
  <si>
    <t>2041001</t>
  </si>
  <si>
    <t>2040045</t>
  </si>
  <si>
    <t>2040040</t>
  </si>
  <si>
    <t>2040070</t>
  </si>
  <si>
    <t>2040041</t>
  </si>
  <si>
    <t>Μερικώς, στο μισό κομμάτι του κτιρίου.</t>
  </si>
  <si>
    <t>Τώρα είναι υπό κατασκευή.</t>
  </si>
  <si>
    <t>2040042</t>
  </si>
  <si>
    <t>Ναι, ΟΧΙ ΣΕ ΟΛΑ ΤΑ ΤΜΗΜΑΤΑ ΤΟΥ ΚΤΗΡΙΟΥ</t>
  </si>
  <si>
    <t>Ναι, ΚΑΤΑΣΚΕΥΑΖΟΝΤΑΙ ΤΩΡΑ</t>
  </si>
  <si>
    <t>2050056</t>
  </si>
  <si>
    <t>2040050</t>
  </si>
  <si>
    <t>2055010</t>
  </si>
  <si>
    <t>2051010</t>
  </si>
  <si>
    <t>2051020</t>
  </si>
  <si>
    <t>2051021</t>
  </si>
  <si>
    <t>2051040</t>
  </si>
  <si>
    <t>2051070</t>
  </si>
  <si>
    <t>2051001</t>
  </si>
  <si>
    <t>2051009</t>
  </si>
  <si>
    <t>2044001</t>
  </si>
  <si>
    <t>2064010</t>
  </si>
  <si>
    <t>2090041</t>
  </si>
  <si>
    <t>2051060</t>
  </si>
  <si>
    <t>2053010</t>
  </si>
  <si>
    <t>2062010</t>
  </si>
  <si>
    <t>2054010</t>
  </si>
  <si>
    <t>Όχι, μόνο ράμπα ΑΜΕΑ χωρίς δυνατότητα πρόσβασης σε αίθουσες διδασκαλίας</t>
  </si>
  <si>
    <t>παιδιά από την Κιβωτό του Κόσμου</t>
  </si>
  <si>
    <t>2051061</t>
  </si>
  <si>
    <t>2051030</t>
  </si>
  <si>
    <t>2001035</t>
  </si>
  <si>
    <t>4004010</t>
  </si>
  <si>
    <t>4001010</t>
  </si>
  <si>
    <t>4001020</t>
  </si>
  <si>
    <t>ΜΟΝΟ ΣΤΟ ΙΣΟΓΕΙΟ</t>
  </si>
  <si>
    <t>4004020</t>
  </si>
  <si>
    <t>Δεν φοιτούν μαθητές/τριες από ευάλωτες κοινωνικές ομάδες, Ρομά, Τάξη ΖΕΠ, Μετανάστες/Πρόσφυγες</t>
  </si>
  <si>
    <t>4001030</t>
  </si>
  <si>
    <t>Μόνο στο Ισόγειο (Οι αίθουσες βρίσκονται στον 1ο όροφο)</t>
  </si>
  <si>
    <t>4001035</t>
  </si>
  <si>
    <t>4001040</t>
  </si>
  <si>
    <t>4002010</t>
  </si>
  <si>
    <t>4006010</t>
  </si>
  <si>
    <t>4005010</t>
  </si>
  <si>
    <t>4003010</t>
  </si>
  <si>
    <t>4001005</t>
  </si>
  <si>
    <t>4001037</t>
  </si>
  <si>
    <t>4041001</t>
  </si>
  <si>
    <t>ΜΑΘΗΤΈΣ ΑΜΕΑ</t>
  </si>
  <si>
    <t>4040030</t>
  </si>
  <si>
    <t>4040050</t>
  </si>
  <si>
    <t>4040060</t>
  </si>
  <si>
    <t>4053001</t>
  </si>
  <si>
    <t>4051010</t>
  </si>
  <si>
    <t>4054010</t>
  </si>
  <si>
    <t>Υπάρχει, αλλά όχι από την κύρια είσοδο, απαιτείται διάνυση μεγάλης απόστασης</t>
  </si>
  <si>
    <t>4051020</t>
  </si>
  <si>
    <t>4052010</t>
  </si>
  <si>
    <t>4055010</t>
  </si>
  <si>
    <t>4053010</t>
  </si>
  <si>
    <t>4051005</t>
  </si>
  <si>
    <t>4056010</t>
  </si>
  <si>
    <t>9040101</t>
  </si>
  <si>
    <t>9040257</t>
  </si>
  <si>
    <t>9040004</t>
  </si>
  <si>
    <t>9040252</t>
  </si>
  <si>
    <t>9040239</t>
  </si>
  <si>
    <t>ΑΠΑΙΤΟΥΝΤΑΙ ΣΥΜΠΛΗΡΩΜΑΤΙΚΕΣ ΕΡΓΑΣΙΕΣ</t>
  </si>
  <si>
    <t>ΑΠΑΙΤΟΥΝΤΑΙ ΕΡΓΑΣΙΕΣ ΣΥΝΤΗΡΗΣΗΣ</t>
  </si>
  <si>
    <t>9040105</t>
  </si>
  <si>
    <t>9040008</t>
  </si>
  <si>
    <t>Μόνο στο ένα κτήριο έχει κατασκευαστεί ράμπα.</t>
  </si>
  <si>
    <t>9040106</t>
  </si>
  <si>
    <t>9040264</t>
  </si>
  <si>
    <t>Υπάρχει πρόσβαση για την είσοδο στο κτήριο, αλλά όχι για τον 1ο όροφο</t>
  </si>
  <si>
    <t>Ρομά, μαθητές με σοβαρές οικονομικές δυσκολίες</t>
  </si>
  <si>
    <t>9040108</t>
  </si>
  <si>
    <t>9040111</t>
  </si>
  <si>
    <t>9040013</t>
  </si>
  <si>
    <t>Ναι, Μόνο στο ένα από τα δυο κτήρια όπου στεγάζεται το σχολείο μας.</t>
  </si>
  <si>
    <t>9040081</t>
  </si>
  <si>
    <t>Υπάρχουν ράμπες στις εισόδους του κτιρίου αλλά όχι στις εισόδους (καγκελόπορτες) της αυλής</t>
  </si>
  <si>
    <t>9041000</t>
  </si>
  <si>
    <t>9040118</t>
  </si>
  <si>
    <t>Δεν φοιτούν μαθητές/τριες από ευάλωτες κοινωνικές ομάδες, ΑΜΕΑ</t>
  </si>
  <si>
    <t>9040120</t>
  </si>
  <si>
    <t>9040122</t>
  </si>
  <si>
    <t>9040214</t>
  </si>
  <si>
    <t>9040124</t>
  </si>
  <si>
    <t>Άνεργοι γονείς, μονογονεικές οικογένειες με οικονομικά προβλήματα</t>
  </si>
  <si>
    <t>9040024</t>
  </si>
  <si>
    <t>9040129</t>
  </si>
  <si>
    <t>9040044</t>
  </si>
  <si>
    <t>9040131</t>
  </si>
  <si>
    <t>Υπάρχει ηλεκτρική μπάρα για πρόσβαση ΑΜΕΑ, η οποία παρουσίασε κάποια ζητήματα για την έναρξη λειτουργίας της</t>
  </si>
  <si>
    <t>9040138</t>
  </si>
  <si>
    <t>9040224</t>
  </si>
  <si>
    <t>9040146</t>
  </si>
  <si>
    <t>9040149</t>
  </si>
  <si>
    <t>9040150</t>
  </si>
  <si>
    <t>9040050</t>
  </si>
  <si>
    <t>9040163</t>
  </si>
  <si>
    <t>9040057</t>
  </si>
  <si>
    <t>9040059</t>
  </si>
  <si>
    <t>9040167</t>
  </si>
  <si>
    <t>9040197</t>
  </si>
  <si>
    <t>9040060</t>
  </si>
  <si>
    <t>9040063</t>
  </si>
  <si>
    <t>9040070</t>
  </si>
  <si>
    <t>9040074</t>
  </si>
  <si>
    <t>9040175</t>
  </si>
  <si>
    <t>9040089</t>
  </si>
  <si>
    <t>9040076</t>
  </si>
  <si>
    <t>9040078</t>
  </si>
  <si>
    <t>9040066</t>
  </si>
  <si>
    <t>9040055</t>
  </si>
  <si>
    <t>ΗΜΙΟΡΕΙΝΗ ΠΕΡΙΟΧΗ</t>
  </si>
  <si>
    <t>9040083</t>
  </si>
  <si>
    <t>9040085</t>
  </si>
  <si>
    <t>Σύνδρομο Down</t>
  </si>
  <si>
    <t>9040029</t>
  </si>
  <si>
    <t>9040184</t>
  </si>
  <si>
    <t>9040186</t>
  </si>
  <si>
    <t>ΥΠΑΡΧΕΙ ΔΥΝΑΤΟΤΗΤΑ ΑΠΟ ΤΗΝ ΠΙΣΩ ΠΟΡΤΑ</t>
  </si>
  <si>
    <t>9040187</t>
  </si>
  <si>
    <t>9040176</t>
  </si>
  <si>
    <t>9040095</t>
  </si>
  <si>
    <t>9040267</t>
  </si>
  <si>
    <t>9040195</t>
  </si>
  <si>
    <t>9040003</t>
  </si>
  <si>
    <t>9040242</t>
  </si>
  <si>
    <t>Αλλοδαποί</t>
  </si>
  <si>
    <t>9040261</t>
  </si>
  <si>
    <t>9040102</t>
  </si>
  <si>
    <t>9040228</t>
  </si>
  <si>
    <t>9040005</t>
  </si>
  <si>
    <t>9040104</t>
  </si>
  <si>
    <t>9040006</t>
  </si>
  <si>
    <t>Ρομά, μαθητές που κατάγονται από άλλες χώρες</t>
  </si>
  <si>
    <t>9040211</t>
  </si>
  <si>
    <t>9040009</t>
  </si>
  <si>
    <t>9040107</t>
  </si>
  <si>
    <t>9040010</t>
  </si>
  <si>
    <t>9040109</t>
  </si>
  <si>
    <t>9040282</t>
  </si>
  <si>
    <t>9040012</t>
  </si>
  <si>
    <t>9040225</t>
  </si>
  <si>
    <t>9040112</t>
  </si>
  <si>
    <t>9040233</t>
  </si>
  <si>
    <t>Παιδιά με αλλοδαπή μητέρα και πολύ χαμηλό βιοτικό επίπεδο</t>
  </si>
  <si>
    <t>9040121</t>
  </si>
  <si>
    <t>ΗΜΙΟΡΕΙΝΗ</t>
  </si>
  <si>
    <t>9040265</t>
  </si>
  <si>
    <t>Επειδή πρόκειται για συστεγαζόμενο σχολείο η πρόσβαση ΑΜΕΑ γίνεται μέσω του Δημοτικού Σχολείου</t>
  </si>
  <si>
    <t>9040123</t>
  </si>
  <si>
    <t>9040023</t>
  </si>
  <si>
    <t>9040251</t>
  </si>
  <si>
    <t>Σε πεδινή περιοχή</t>
  </si>
  <si>
    <t>9040137</t>
  </si>
  <si>
    <t>9040268</t>
  </si>
  <si>
    <t>9040147</t>
  </si>
  <si>
    <t>9040148</t>
  </si>
  <si>
    <t>9040210</t>
  </si>
  <si>
    <t>9040243</t>
  </si>
  <si>
    <t>9040275</t>
  </si>
  <si>
    <t>Το σχολείο βρίσκεται σε ημιορεινή περιοχή</t>
  </si>
  <si>
    <t>9040058</t>
  </si>
  <si>
    <t>9040270</t>
  </si>
  <si>
    <t>9520960</t>
  </si>
  <si>
    <t>9040061</t>
  </si>
  <si>
    <t>Δεν φοιτούν μαθητές/τριες από ευάλωτες κοινωνικές ομάδες, Ρομά, Μετανάστες/Πρόσφυγες</t>
  </si>
  <si>
    <t>9040208</t>
  </si>
  <si>
    <t>9040075</t>
  </si>
  <si>
    <t>9040281</t>
  </si>
  <si>
    <t>9040241</t>
  </si>
  <si>
    <t>Μπορεί γιατί το νηπιαγωγείο είναι ισόγειο,αλλά θα μπορούσε να είναι σε πολυ καλύτερη κατάσταση(Δλδ κάποια σημεία χρειάζονται αναβάθμιση)</t>
  </si>
  <si>
    <t>9040084</t>
  </si>
  <si>
    <t>9040229</t>
  </si>
  <si>
    <t>9040277</t>
  </si>
  <si>
    <t>9040209</t>
  </si>
  <si>
    <t>9520961</t>
  </si>
  <si>
    <t>Από την πίσω πλευρά του κτιρίου.</t>
  </si>
  <si>
    <t>9040232</t>
  </si>
  <si>
    <t>9040237</t>
  </si>
  <si>
    <t>9040253</t>
  </si>
  <si>
    <t>9040194</t>
  </si>
  <si>
    <t>9040201</t>
  </si>
  <si>
    <t>9180003</t>
  </si>
  <si>
    <t>9180058</t>
  </si>
  <si>
    <t>9180136</t>
  </si>
  <si>
    <t>9180005</t>
  </si>
  <si>
    <t>9180138</t>
  </si>
  <si>
    <t>Μετανάστες/Πρόσφυγες, ΧΑΜΗΛΟ ΕΙΣΟΔΗΜΑ, ΜΑΘΗΤΕΣ ΑΠΟΜΑΚΡΥΣΜΕΝΩΝ ΟΡΕΙΝΩΝ ΠΕΡΙΟΧΩΝ</t>
  </si>
  <si>
    <t>9180132</t>
  </si>
  <si>
    <t>9180205</t>
  </si>
  <si>
    <t>9180229</t>
  </si>
  <si>
    <t>9521679</t>
  </si>
  <si>
    <t>ΥΠΑΡΧΕΙ ΠΡΟΣΒΑΣΗ ΣΤΟ ΚΤΗΡΙΟ ΑΛΛΑ ΕΚΚΕΡΕΜΕΙ Η ΕΝΑΡΞΗ ΛΕΙΤΟΥΡΓΙΑΣ ΤΟΥ ΑΣΑΝΣΕΡ</t>
  </si>
  <si>
    <t>ΜΟΝΟΓΟΝΕΪΚΗΣ ΟΙΚΟΓΕΝΕΙΑΣ</t>
  </si>
  <si>
    <t>9180189</t>
  </si>
  <si>
    <t>9180049</t>
  </si>
  <si>
    <t>Ναι, ΜΕ ΚΑΠΟΙΑ  ΔΥΣΚΟΛΙΑ</t>
  </si>
  <si>
    <t>9180016</t>
  </si>
  <si>
    <t>9180035</t>
  </si>
  <si>
    <t>9180019</t>
  </si>
  <si>
    <t>9180167</t>
  </si>
  <si>
    <t>9180046</t>
  </si>
  <si>
    <t>9180025</t>
  </si>
  <si>
    <t>9180093</t>
  </si>
  <si>
    <t>9180123</t>
  </si>
  <si>
    <t>9180029</t>
  </si>
  <si>
    <t>9180069</t>
  </si>
  <si>
    <t>9180030</t>
  </si>
  <si>
    <t>5 ΜΑΘΗΤΕΣ ΠΟΥ ΔΕ ΓΝΩΡΙΖΟΥΝ ΤΗΝ ΕΛΛΗΝΙΚΗ ΓΛΩΣΣΑ</t>
  </si>
  <si>
    <t>9180250</t>
  </si>
  <si>
    <t>9180067</t>
  </si>
  <si>
    <t>9180146</t>
  </si>
  <si>
    <t>9180002</t>
  </si>
  <si>
    <t>9180137</t>
  </si>
  <si>
    <t>9180017</t>
  </si>
  <si>
    <t>9180026</t>
  </si>
  <si>
    <t>ΤΜΗΜΑ  ΕΝΤΑΞΗΣ</t>
  </si>
  <si>
    <t>9180059</t>
  </si>
  <si>
    <t>9180068</t>
  </si>
  <si>
    <t>9180045</t>
  </si>
  <si>
    <t>9180028</t>
  </si>
  <si>
    <t>9180050</t>
  </si>
  <si>
    <t>9180263</t>
  </si>
  <si>
    <t>9180004</t>
  </si>
  <si>
    <t>9180249</t>
  </si>
  <si>
    <t>9180139</t>
  </si>
  <si>
    <t>9180204</t>
  </si>
  <si>
    <t>9180232</t>
  </si>
  <si>
    <t>9180215</t>
  </si>
  <si>
    <t>9180236</t>
  </si>
  <si>
    <t>9180247</t>
  </si>
  <si>
    <t>9180248</t>
  </si>
  <si>
    <t>Ναι, Όχι</t>
  </si>
  <si>
    <t>9180251</t>
  </si>
  <si>
    <t>9520895</t>
  </si>
  <si>
    <t>9180018</t>
  </si>
  <si>
    <t>9180070</t>
  </si>
  <si>
    <t>9180036</t>
  </si>
  <si>
    <t>9180075</t>
  </si>
  <si>
    <t xml:space="preserve">Ναι, Υπάρχει μπάρα πρόσβασης ΑμεΑ στην κύρια είσοδο </t>
  </si>
  <si>
    <t>9180078</t>
  </si>
  <si>
    <t>9521681</t>
  </si>
  <si>
    <t>9180245</t>
  </si>
  <si>
    <t>9180201</t>
  </si>
  <si>
    <t>9180124</t>
  </si>
  <si>
    <t>9180188</t>
  </si>
  <si>
    <t>9180203</t>
  </si>
  <si>
    <t>9520972</t>
  </si>
  <si>
    <t>9200195</t>
  </si>
  <si>
    <t>Ναι, ΕΛΛΕΙΨΗ  ΡΑΜΠΑΣ  ΣΤΟ Β΄ΚΤΙΡΙΟ, ΕΛΛΕΙΨΗ ΑΝΕΛΚΥΣΤΗΡΑ ΣΤΟ Α΄ΚΤΙΡΙΟ</t>
  </si>
  <si>
    <t>Ναι, ΕΛΛΕΙΨΗ ΣΤΟ Α΄ΚΤΙΡΙΟ</t>
  </si>
  <si>
    <t>9200507</t>
  </si>
  <si>
    <t>Ναι, ΜΟΝΟ ΙΣΟΓΕΙΟ</t>
  </si>
  <si>
    <t>9200465</t>
  </si>
  <si>
    <t>9200472</t>
  </si>
  <si>
    <t>9200578</t>
  </si>
  <si>
    <t>9200543</t>
  </si>
  <si>
    <t>9200194</t>
  </si>
  <si>
    <t>Είναι υπό κατασκευή.</t>
  </si>
  <si>
    <t>9200112</t>
  </si>
  <si>
    <t>9200016</t>
  </si>
  <si>
    <t>9200501</t>
  </si>
  <si>
    <t>9200295</t>
  </si>
  <si>
    <t>9200250</t>
  </si>
  <si>
    <t>9200096</t>
  </si>
  <si>
    <t>9200436</t>
  </si>
  <si>
    <t>9200405</t>
  </si>
  <si>
    <t>9200584</t>
  </si>
  <si>
    <t>9200430</t>
  </si>
  <si>
    <t>9200574</t>
  </si>
  <si>
    <t>9200530</t>
  </si>
  <si>
    <t>9521115</t>
  </si>
  <si>
    <t>9200546</t>
  </si>
  <si>
    <t>9521632</t>
  </si>
  <si>
    <t>9200296</t>
  </si>
  <si>
    <t>9200542</t>
  </si>
  <si>
    <t>9200406</t>
  </si>
  <si>
    <t>9200551</t>
  </si>
  <si>
    <t>Υπάρχει μόνο ράμπα</t>
  </si>
  <si>
    <t>9200003</t>
  </si>
  <si>
    <t>9200298</t>
  </si>
  <si>
    <t>ΚΙΒΩΤΟΣ ΤΟΥ ΚΟΣΜΟΥ</t>
  </si>
  <si>
    <t>9200439</t>
  </si>
  <si>
    <t>9521730</t>
  </si>
  <si>
    <t>9200004</t>
  </si>
  <si>
    <t xml:space="preserve">Όχι, με υποβοήθηση </t>
  </si>
  <si>
    <t>9200428</t>
  </si>
  <si>
    <t>9200503</t>
  </si>
  <si>
    <t>9200429</t>
  </si>
  <si>
    <t>9200506</t>
  </si>
  <si>
    <t>9200464</t>
  </si>
  <si>
    <t>9200005</t>
  </si>
  <si>
    <t>9200106</t>
  </si>
  <si>
    <t>9200042</t>
  </si>
  <si>
    <t>9200199</t>
  </si>
  <si>
    <t>9200075</t>
  </si>
  <si>
    <t>9200088</t>
  </si>
  <si>
    <t>9200020</t>
  </si>
  <si>
    <t>9200091</t>
  </si>
  <si>
    <t>9200215</t>
  </si>
  <si>
    <t>9200257</t>
  </si>
  <si>
    <t>9200136</t>
  </si>
  <si>
    <t>9200395</t>
  </si>
  <si>
    <t>9200367</t>
  </si>
  <si>
    <t>9200135</t>
  </si>
  <si>
    <t>9200039</t>
  </si>
  <si>
    <t>9200047</t>
  </si>
  <si>
    <t>Είναι σε εξέλιξη προγραμματισμένη κατασκευή τους από τις Τεχνικές Υπηρεσίες του Δήμου ΙωαννιτώνΥπηρεσίες</t>
  </si>
  <si>
    <t>9200029</t>
  </si>
  <si>
    <t>9200081</t>
  </si>
  <si>
    <t>9200092</t>
  </si>
  <si>
    <t>9200028</t>
  </si>
  <si>
    <t>9200062</t>
  </si>
  <si>
    <t>9200152</t>
  </si>
  <si>
    <t>9200147</t>
  </si>
  <si>
    <t>9200293</t>
  </si>
  <si>
    <t>9200378</t>
  </si>
  <si>
    <t>Φοιτούν δίγλωσσοι μαθητές που μιλούν και τη γλώσσα των Ρομά</t>
  </si>
  <si>
    <t>9200263</t>
  </si>
  <si>
    <t>Υπάρχουν αλλά δεν λειτουργούν κατά το τρέχον σχολικό έτος</t>
  </si>
  <si>
    <t>9200065</t>
  </si>
  <si>
    <t>ΣΤΟ ΕΝΑ ΚΤΗΡΙΟ ΑΠΟ ΤΑ ΔΥΟ ΠΟΥ ΣΤΕΓΑΖΕΙ ΤΟ ΣΧΟΛΕΙΟ</t>
  </si>
  <si>
    <t>9200132</t>
  </si>
  <si>
    <t>9200167</t>
  </si>
  <si>
    <t>9200073</t>
  </si>
  <si>
    <t>9200279</t>
  </si>
  <si>
    <t>9200567</t>
  </si>
  <si>
    <t>9200482</t>
  </si>
  <si>
    <t>παιδιά μονογονεϊκών οικογενειών .</t>
  </si>
  <si>
    <t>9200558</t>
  </si>
  <si>
    <t>9200540</t>
  </si>
  <si>
    <t>9200541</t>
  </si>
  <si>
    <t>9200569</t>
  </si>
  <si>
    <t>9200571</t>
  </si>
  <si>
    <t>9200111</t>
  </si>
  <si>
    <t>9200017</t>
  </si>
  <si>
    <t>9200103</t>
  </si>
  <si>
    <t>9200129</t>
  </si>
  <si>
    <t>9200294</t>
  </si>
  <si>
    <t>9200251</t>
  </si>
  <si>
    <t>9200492</t>
  </si>
  <si>
    <t>9200493</t>
  </si>
  <si>
    <t>9200433</t>
  </si>
  <si>
    <t>9200575</t>
  </si>
  <si>
    <t>9200535</t>
  </si>
  <si>
    <t>9200515</t>
  </si>
  <si>
    <t>9521645</t>
  </si>
  <si>
    <t>9200192</t>
  </si>
  <si>
    <t>Όχι, Οι τουαλέτες είναι στον εξωτερικό αύλειο χώρο εκτός κτηρίου</t>
  </si>
  <si>
    <t>9200297</t>
  </si>
  <si>
    <t>9521220</t>
  </si>
  <si>
    <t>9521534</t>
  </si>
  <si>
    <t>9200599</t>
  </si>
  <si>
    <t>9200570</t>
  </si>
  <si>
    <t>9200426</t>
  </si>
  <si>
    <t>9200490</t>
  </si>
  <si>
    <t>9200299</t>
  </si>
  <si>
    <t>9200459</t>
  </si>
  <si>
    <t>9200099</t>
  </si>
  <si>
    <t>9521219</t>
  </si>
  <si>
    <t>9200422</t>
  </si>
  <si>
    <t>9521533</t>
  </si>
  <si>
    <t>9200424</t>
  </si>
  <si>
    <t>9200592</t>
  </si>
  <si>
    <t>9200427</t>
  </si>
  <si>
    <t>9200594</t>
  </si>
  <si>
    <t>9200573</t>
  </si>
  <si>
    <t>9200554</t>
  </si>
  <si>
    <t>9200519</t>
  </si>
  <si>
    <t>9200527</t>
  </si>
  <si>
    <t>Υπάρχει πρόσβαση μόνο στην αίθουσα, όχι στις τουαλέτες.</t>
  </si>
  <si>
    <t>9200089</t>
  </si>
  <si>
    <t>9200526</t>
  </si>
  <si>
    <t>9200283</t>
  </si>
  <si>
    <t>9200454</t>
  </si>
  <si>
    <t>9200597</t>
  </si>
  <si>
    <t>9200514</t>
  </si>
  <si>
    <t>9200387</t>
  </si>
  <si>
    <t>9200317</t>
  </si>
  <si>
    <t>9200120</t>
  </si>
  <si>
    <t>9200361</t>
  </si>
  <si>
    <t>9200536</t>
  </si>
  <si>
    <t>9200434</t>
  </si>
  <si>
    <t>9200291</t>
  </si>
  <si>
    <t>9200601</t>
  </si>
  <si>
    <t>9200396</t>
  </si>
  <si>
    <t>9200524</t>
  </si>
  <si>
    <t>9200368</t>
  </si>
  <si>
    <t>9200134</t>
  </si>
  <si>
    <t>9200460</t>
  </si>
  <si>
    <t>9200562</t>
  </si>
  <si>
    <t xml:space="preserve">Όχι, Το σχολείο έχει μπει στο πρόγραμμα " Φιλόδημος" για την κατασκευή ράμπας για ΑΜΕΑ </t>
  </si>
  <si>
    <t>Όχι, Το ίδιο ισχύει και και για κατασκευή τουαλέτας για ΑΜΕΑ</t>
  </si>
  <si>
    <t>9200048</t>
  </si>
  <si>
    <t>ΕΧΕΙ ΠΡΟΣΒΑΣΗ ΑΠΟ ΤΟ ΔΗΜΟΤΙΚΟ ΠΟΥ ΣΥΣΤΕΓΑΖΕΤΑΙ</t>
  </si>
  <si>
    <t>Όχι, ΤΩΡΑ  ΘΑ ΚΑΤΑΣΚΕΥΑΣΤΕΙ ΚΑΙ ΘΑ ΕΙΝΑΙ ΠΡΟΣΒΑΣΙΜΗ ΑΠΟ ΤΟ ΔΗΜΟΤΙΚΟ ΚΑΙ ΤΟ ΝΗΠΙΑΓΩΓΕΙΟ, ΓΙΑΤΙ  ΘΑ ΓΙΝΕΙ ΣΕ ΧΩΡΟ ΔΙΠΛΑΝΟ ΜΕ ΤΟ ΝΗΠΙΑΓΩΓΕΙΟ</t>
  </si>
  <si>
    <t>9200463</t>
  </si>
  <si>
    <t>9200086</t>
  </si>
  <si>
    <t>9200093</t>
  </si>
  <si>
    <t>9520853</t>
  </si>
  <si>
    <t>9200537</t>
  </si>
  <si>
    <t>9200151</t>
  </si>
  <si>
    <t>9200516</t>
  </si>
  <si>
    <t>9200149</t>
  </si>
  <si>
    <t>9200156</t>
  </si>
  <si>
    <t>Όχι, Έχει υποβληθεί αίτημα κατασκευής ράμπας για πρόσβαση ΑΜΕΑ.</t>
  </si>
  <si>
    <t>Όχι, Έχει υποβληθεί αίτημα κατασκευής τουαλέτας ΑΜΕΑ.</t>
  </si>
  <si>
    <t>9200598</t>
  </si>
  <si>
    <t>9520854</t>
  </si>
  <si>
    <t>9200377</t>
  </si>
  <si>
    <t>9200262</t>
  </si>
  <si>
    <t>9200066</t>
  </si>
  <si>
    <t>9200453</t>
  </si>
  <si>
    <t>9200168</t>
  </si>
  <si>
    <t>9200072</t>
  </si>
  <si>
    <t>9200481</t>
  </si>
  <si>
    <t>9200094</t>
  </si>
  <si>
    <t>μαθητές χαμηλού οικονομικού εισοδήματος</t>
  </si>
  <si>
    <t>9400143</t>
  </si>
  <si>
    <t>9520632</t>
  </si>
  <si>
    <t>9400002</t>
  </si>
  <si>
    <t>9400007</t>
  </si>
  <si>
    <t>9400012</t>
  </si>
  <si>
    <t>Υπάρχει μόνο για το ισόγειο του Α ΚΤΙΡΊΟΥ. Η πρόσβαση στον 1ο όροφο δεν είναι εφικτή. Το κτίριο Β δεν έχει καθόλου πρόσβαση. Για το κτίριο Α απαιτείται ασανσέρ.</t>
  </si>
  <si>
    <t>9400232</t>
  </si>
  <si>
    <t>ΠΑΙΔΙΑ ΜΕ ΕΙΔΙΚΕΣ ΑΝΑΓΚΕΣ</t>
  </si>
  <si>
    <t>9520633</t>
  </si>
  <si>
    <t>9400214</t>
  </si>
  <si>
    <t>9400009</t>
  </si>
  <si>
    <t>Υπάρχει δυνατότητα πρόσβασης ΑΜΕΑ μόνο στους ισόγειους χώρους.</t>
  </si>
  <si>
    <t>9400014</t>
  </si>
  <si>
    <t>9400015</t>
  </si>
  <si>
    <t>9400105</t>
  </si>
  <si>
    <t>9400106</t>
  </si>
  <si>
    <t>9400097</t>
  </si>
  <si>
    <t>9400215</t>
  </si>
  <si>
    <t>Αλλοδαποί μαθητές(Ινδοί-Αλβανοί)</t>
  </si>
  <si>
    <t>9400230</t>
  </si>
  <si>
    <t>9400099</t>
  </si>
  <si>
    <t>9400107</t>
  </si>
  <si>
    <t>αλλοδαποί</t>
  </si>
  <si>
    <t>9400016</t>
  </si>
  <si>
    <t>9400114</t>
  </si>
  <si>
    <t>9400128</t>
  </si>
  <si>
    <t>9400139</t>
  </si>
  <si>
    <t>9400040</t>
  </si>
  <si>
    <t>9400048</t>
  </si>
  <si>
    <t>Υπό κατασκευή</t>
  </si>
  <si>
    <t>9400164</t>
  </si>
  <si>
    <t>9400100</t>
  </si>
  <si>
    <t>9400203</t>
  </si>
  <si>
    <t>9400055</t>
  </si>
  <si>
    <t>9400061</t>
  </si>
  <si>
    <t>9400030</t>
  </si>
  <si>
    <t>9521346</t>
  </si>
  <si>
    <t>9400188</t>
  </si>
  <si>
    <t>ΗΜΕΙΟΡΕΙΝΗ  ΠΕΡΙΟΧΗ</t>
  </si>
  <si>
    <t>9400233</t>
  </si>
  <si>
    <t>9400195</t>
  </si>
  <si>
    <t>9400098</t>
  </si>
  <si>
    <t>9400223</t>
  </si>
  <si>
    <t>9520894</t>
  </si>
  <si>
    <t>9400001</t>
  </si>
  <si>
    <t>9400142</t>
  </si>
  <si>
    <t>9400095</t>
  </si>
  <si>
    <t>9400008</t>
  </si>
  <si>
    <t>9400011</t>
  </si>
  <si>
    <t>9400004</t>
  </si>
  <si>
    <t>9400208</t>
  </si>
  <si>
    <t>9520612</t>
  </si>
  <si>
    <t>9400103</t>
  </si>
  <si>
    <t>τμήμα ένταξης</t>
  </si>
  <si>
    <t>9400013</t>
  </si>
  <si>
    <t>9400010</t>
  </si>
  <si>
    <t>9400194</t>
  </si>
  <si>
    <t>9400237</t>
  </si>
  <si>
    <t>9400207</t>
  </si>
  <si>
    <t>9400211</t>
  </si>
  <si>
    <t>9400212</t>
  </si>
  <si>
    <t>9400213</t>
  </si>
  <si>
    <t>9400228</t>
  </si>
  <si>
    <t>9400058</t>
  </si>
  <si>
    <t>9400206</t>
  </si>
  <si>
    <t>9400108</t>
  </si>
  <si>
    <t>9400017</t>
  </si>
  <si>
    <t>9400113</t>
  </si>
  <si>
    <t>9400127</t>
  </si>
  <si>
    <t>9400140</t>
  </si>
  <si>
    <t>9400222</t>
  </si>
  <si>
    <t>9400210</t>
  </si>
  <si>
    <t>9400047</t>
  </si>
  <si>
    <t>9400163</t>
  </si>
  <si>
    <t>9400209</t>
  </si>
  <si>
    <t>9400205</t>
  </si>
  <si>
    <t>9400054</t>
  </si>
  <si>
    <t>9400057</t>
  </si>
  <si>
    <t>9400060</t>
  </si>
  <si>
    <t>9400027</t>
  </si>
  <si>
    <t>ΦΟΙΤΟΥΝ ΠΑΙΔΙΑ ΑΠΟ ΦΤΩΧΕΣ ΟΙΚΟΓΕΝΕΙΕΣ</t>
  </si>
  <si>
    <t>9400086</t>
  </si>
  <si>
    <t>9400201</t>
  </si>
  <si>
    <t>9400189</t>
  </si>
  <si>
    <t>ΣΕ ΗΜΙΟΡΕΙΝΗ ΠΕΡΙΟΧΗ</t>
  </si>
  <si>
    <t>Εξωτερικοί ανελκυστήρες προσώπων για ΑΜΕΑ</t>
  </si>
  <si>
    <t>0SEK054</t>
  </si>
  <si>
    <t>1ο ΕΚ ΗΓΟΥΜΕΝΙΤΣΑΣ</t>
  </si>
  <si>
    <t>Εργαστηριακό Κέντρο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</si>
</sst>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8]General"/>
  </numFmts>
  <fonts count="34">
    <font>
      <sz val="11"/>
      <color theme="1"/>
      <name val="Aptos Narrow"/>
      <family val="2"/>
      <charset val="161"/>
      <scheme val="minor"/>
    </font>
    <font>
      <sz val="11"/>
      <color theme="1"/>
      <name val="Calibri"/>
      <family val="2"/>
      <charset val="161"/>
    </font>
    <font>
      <sz val="12"/>
      <color rgb="FF000000"/>
      <name val="Calibri"/>
      <family val="2"/>
      <charset val="161"/>
    </font>
    <font>
      <b/>
      <i/>
      <u/>
      <sz val="10"/>
      <color rgb="FF000000"/>
      <name val="Calibri"/>
      <family val="2"/>
      <charset val="161"/>
    </font>
    <font>
      <sz val="12"/>
      <color theme="1"/>
      <name val="Calibri"/>
      <family val="2"/>
      <charset val="161"/>
    </font>
    <font>
      <b/>
      <i/>
      <u/>
      <sz val="12"/>
      <color rgb="FF000000"/>
      <name val="Calibri"/>
      <family val="2"/>
      <charset val="161"/>
    </font>
    <font>
      <b/>
      <i/>
      <sz val="12"/>
      <color rgb="FF000000"/>
      <name val="Calibri"/>
      <family val="2"/>
      <charset val="161"/>
    </font>
    <font>
      <b/>
      <i/>
      <vertAlign val="subscript"/>
      <sz val="12"/>
      <color rgb="FF000000"/>
      <name val="Calibri"/>
      <family val="2"/>
      <charset val="161"/>
    </font>
    <font>
      <b/>
      <i/>
      <vertAlign val="superscript"/>
      <sz val="14"/>
      <color rgb="FF000000"/>
      <name val="Calibri"/>
      <family val="2"/>
      <charset val="161"/>
    </font>
    <font>
      <b/>
      <sz val="10"/>
      <color theme="1"/>
      <name val="Aptos Narrow"/>
      <family val="2"/>
      <charset val="161"/>
      <scheme val="minor"/>
    </font>
    <font>
      <sz val="10"/>
      <color indexed="8"/>
      <name val="Arial"/>
      <charset val="161"/>
    </font>
    <font>
      <sz val="11"/>
      <color indexed="8"/>
      <name val="Calibri"/>
      <charset val="161"/>
    </font>
    <font>
      <sz val="11"/>
      <color indexed="8"/>
      <name val="Calibri"/>
      <family val="2"/>
      <charset val="161"/>
    </font>
    <font>
      <sz val="11"/>
      <color rgb="FF000000"/>
      <name val="Calibri"/>
      <family val="2"/>
      <charset val="161"/>
    </font>
    <font>
      <vertAlign val="superscript"/>
      <sz val="11"/>
      <color theme="1"/>
      <name val="Calibri"/>
      <family val="2"/>
      <charset val="161"/>
    </font>
    <font>
      <b/>
      <sz val="11"/>
      <color indexed="8"/>
      <name val="Calibri"/>
      <family val="2"/>
      <charset val="161"/>
    </font>
    <font>
      <sz val="11"/>
      <name val="Calibri"/>
      <family val="2"/>
      <charset val="161"/>
    </font>
    <font>
      <sz val="10"/>
      <color indexed="8"/>
      <name val="Arial"/>
      <family val="2"/>
      <charset val="161"/>
    </font>
    <font>
      <sz val="11"/>
      <color indexed="8"/>
      <name val="Arial"/>
      <family val="2"/>
      <charset val="161"/>
    </font>
    <font>
      <sz val="11"/>
      <color rgb="FF000000"/>
      <name val="Calibri1"/>
      <charset val="161"/>
    </font>
    <font>
      <sz val="12"/>
      <color indexed="8"/>
      <name val="Calibri"/>
      <family val="2"/>
      <charset val="161"/>
    </font>
    <font>
      <sz val="12"/>
      <color indexed="8"/>
      <name val="Arial"/>
      <family val="2"/>
      <charset val="161"/>
    </font>
    <font>
      <sz val="12"/>
      <color theme="1"/>
      <name val="Aptos Narrow"/>
      <family val="2"/>
      <charset val="161"/>
      <scheme val="minor"/>
    </font>
    <font>
      <sz val="12"/>
      <color rgb="FF000000"/>
      <name val="Calibri1"/>
      <charset val="161"/>
    </font>
    <font>
      <sz val="12"/>
      <color theme="1"/>
      <name val="Aptos Narrow"/>
      <charset val="161"/>
      <scheme val="minor"/>
    </font>
    <font>
      <sz val="12"/>
      <name val="Times New Roman"/>
      <family val="1"/>
      <charset val="161"/>
    </font>
    <font>
      <b/>
      <i/>
      <sz val="12"/>
      <color theme="1"/>
      <name val="Calibri"/>
      <family val="2"/>
      <charset val="161"/>
    </font>
    <font>
      <sz val="11"/>
      <name val="Aptos Narrow"/>
      <family val="2"/>
      <charset val="161"/>
      <scheme val="minor"/>
    </font>
    <font>
      <sz val="12"/>
      <name val="Calibri"/>
      <family val="2"/>
      <charset val="161"/>
    </font>
    <font>
      <sz val="11"/>
      <name val="Calibri"/>
      <charset val="161"/>
    </font>
    <font>
      <b/>
      <sz val="11"/>
      <color theme="1"/>
      <name val="Calibri"/>
      <family val="2"/>
      <charset val="161"/>
    </font>
    <font>
      <sz val="11"/>
      <color indexed="8"/>
      <name val="Aptos Narrow"/>
      <charset val="161"/>
      <scheme val="minor"/>
    </font>
    <font>
      <b/>
      <i/>
      <sz val="11"/>
      <color theme="1"/>
      <name val="Aptos Narrow"/>
      <charset val="161"/>
      <scheme val="minor"/>
    </font>
    <font>
      <sz val="11"/>
      <color theme="1"/>
      <name val="Aptos Narrow"/>
      <family val="2"/>
      <charset val="161"/>
      <scheme val="minor"/>
    </font>
  </fonts>
  <fills count="9">
    <fill>
      <patternFill patternType="none"/>
    </fill>
    <fill>
      <patternFill patternType="gray125"/>
    </fill>
    <fill>
      <patternFill patternType="solid">
        <fgColor theme="0" tint="-0.14999847407452621"/>
        <bgColor indexed="64"/>
      </patternFill>
    </fill>
    <fill>
      <patternFill patternType="solid">
        <fgColor theme="5" tint="0.59999389629810485"/>
        <bgColor indexed="64"/>
      </patternFill>
    </fill>
    <fill>
      <patternFill patternType="solid">
        <fgColor rgb="FFFFC000"/>
        <bgColor indexed="64"/>
      </patternFill>
    </fill>
    <fill>
      <patternFill patternType="solid">
        <fgColor theme="0"/>
        <bgColor indexed="64"/>
      </patternFill>
    </fill>
    <fill>
      <patternFill patternType="solid">
        <fgColor indexed="22"/>
        <bgColor indexed="0"/>
      </patternFill>
    </fill>
    <fill>
      <patternFill patternType="solid">
        <fgColor theme="0"/>
        <bgColor rgb="FFFFFF00"/>
      </patternFill>
    </fill>
    <fill>
      <patternFill patternType="solid">
        <fgColor theme="5" tint="0.399975585192419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rgb="FF5B3F86"/>
      </left>
      <right style="thin">
        <color rgb="FF5B3F86"/>
      </right>
      <top style="thin">
        <color rgb="FF442F65"/>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thin">
        <color indexed="8"/>
      </bottom>
      <diagonal/>
    </border>
    <border>
      <left/>
      <right/>
      <top style="medium">
        <color indexed="64"/>
      </top>
      <bottom style="thin">
        <color indexed="8"/>
      </bottom>
      <diagonal/>
    </border>
    <border>
      <left/>
      <right style="medium">
        <color indexed="64"/>
      </right>
      <top style="medium">
        <color indexed="64"/>
      </top>
      <bottom style="thin">
        <color indexed="8"/>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bottom/>
      <diagonal/>
    </border>
    <border>
      <left style="thin">
        <color indexed="8"/>
      </left>
      <right style="thin">
        <color indexed="8"/>
      </right>
      <top style="thin">
        <color indexed="8"/>
      </top>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10" fillId="0" borderId="0"/>
    <xf numFmtId="164" fontId="19" fillId="0" borderId="0"/>
    <xf numFmtId="0" fontId="33" fillId="0" borderId="0"/>
  </cellStyleXfs>
  <cellXfs count="170">
    <xf numFmtId="0" fontId="0" fillId="0" borderId="0" xfId="0"/>
    <xf numFmtId="0" fontId="1" fillId="0" borderId="0" xfId="0" applyFont="1" applyAlignment="1">
      <alignment vertical="center"/>
    </xf>
    <xf numFmtId="0" fontId="2" fillId="0" borderId="1" xfId="0" applyFont="1" applyBorder="1" applyAlignment="1">
      <alignment vertical="top"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1" fillId="0" borderId="0" xfId="0" applyFont="1" applyAlignment="1">
      <alignment vertical="top"/>
    </xf>
    <xf numFmtId="0" fontId="4" fillId="0" borderId="0" xfId="0" applyFont="1" applyAlignment="1">
      <alignment vertical="center"/>
    </xf>
    <xf numFmtId="0" fontId="3" fillId="0" borderId="18" xfId="0" applyFont="1" applyBorder="1" applyAlignment="1">
      <alignment horizontal="center" vertical="center" wrapText="1"/>
    </xf>
    <xf numFmtId="0" fontId="0" fillId="0" borderId="0" xfId="0" applyAlignment="1">
      <alignment horizontal="center" vertical="center"/>
    </xf>
    <xf numFmtId="0" fontId="0" fillId="2" borderId="0" xfId="0" applyFill="1" applyAlignment="1">
      <alignment horizontal="center" vertical="center"/>
    </xf>
    <xf numFmtId="0" fontId="3" fillId="0" borderId="8" xfId="0" applyFont="1" applyBorder="1" applyAlignment="1">
      <alignment horizontal="center" vertical="center" wrapText="1"/>
    </xf>
    <xf numFmtId="0" fontId="3" fillId="0" borderId="11" xfId="0" applyFont="1" applyBorder="1" applyAlignment="1">
      <alignment horizontal="center" vertical="center" wrapText="1"/>
    </xf>
    <xf numFmtId="0" fontId="2" fillId="0" borderId="1" xfId="0" applyFont="1" applyBorder="1" applyAlignment="1">
      <alignment vertical="top"/>
    </xf>
    <xf numFmtId="0" fontId="4" fillId="0" borderId="0" xfId="0" applyFont="1" applyAlignment="1">
      <alignment horizontal="center" vertical="center" wrapText="1"/>
    </xf>
    <xf numFmtId="0" fontId="0" fillId="4" borderId="0" xfId="0" applyFill="1"/>
    <xf numFmtId="0" fontId="9" fillId="2" borderId="23" xfId="0" applyFont="1" applyFill="1" applyBorder="1" applyAlignment="1">
      <alignment horizontal="center" vertical="center" wrapText="1"/>
    </xf>
    <xf numFmtId="0" fontId="1" fillId="0" borderId="1" xfId="0" applyFont="1" applyBorder="1" applyAlignment="1">
      <alignment vertical="center"/>
    </xf>
    <xf numFmtId="0" fontId="1" fillId="5" borderId="2" xfId="0" applyFont="1" applyFill="1" applyBorder="1" applyAlignment="1">
      <alignment vertical="top"/>
    </xf>
    <xf numFmtId="0" fontId="1" fillId="5" borderId="19" xfId="0" applyFont="1" applyFill="1" applyBorder="1" applyAlignment="1">
      <alignment vertical="top"/>
    </xf>
    <xf numFmtId="0" fontId="1" fillId="5" borderId="0" xfId="0" applyFont="1" applyFill="1" applyAlignment="1">
      <alignment vertical="top"/>
    </xf>
    <xf numFmtId="0" fontId="1" fillId="5" borderId="1" xfId="0" applyFont="1" applyFill="1" applyBorder="1" applyAlignment="1">
      <alignment vertical="top"/>
    </xf>
    <xf numFmtId="0" fontId="1" fillId="5" borderId="20" xfId="0" applyFont="1" applyFill="1" applyBorder="1" applyAlignment="1">
      <alignment vertical="top"/>
    </xf>
    <xf numFmtId="0" fontId="1" fillId="5" borderId="10" xfId="0" applyFont="1" applyFill="1" applyBorder="1" applyAlignment="1">
      <alignment vertical="top"/>
    </xf>
    <xf numFmtId="0" fontId="1" fillId="5" borderId="18" xfId="0" applyFont="1" applyFill="1" applyBorder="1" applyAlignment="1">
      <alignment vertical="top"/>
    </xf>
    <xf numFmtId="0" fontId="1" fillId="5" borderId="1" xfId="0" applyFont="1" applyFill="1" applyBorder="1" applyAlignment="1">
      <alignment vertical="center"/>
    </xf>
    <xf numFmtId="0" fontId="1" fillId="5" borderId="0" xfId="0" applyFont="1" applyFill="1" applyAlignment="1">
      <alignment vertical="center"/>
    </xf>
    <xf numFmtId="0" fontId="1" fillId="5" borderId="0" xfId="0" applyFont="1" applyFill="1" applyAlignment="1">
      <alignment horizontal="left" vertical="center"/>
    </xf>
    <xf numFmtId="0" fontId="6" fillId="3" borderId="27" xfId="0" applyFont="1" applyFill="1" applyBorder="1" applyAlignment="1">
      <alignment horizontal="center" vertical="center"/>
    </xf>
    <xf numFmtId="0" fontId="6" fillId="3" borderId="28" xfId="0" applyFont="1" applyFill="1" applyBorder="1" applyAlignment="1">
      <alignment horizontal="center" vertical="center"/>
    </xf>
    <xf numFmtId="0" fontId="12" fillId="0" borderId="1" xfId="1" applyFont="1" applyFill="1" applyBorder="1" applyAlignment="1">
      <alignment horizontal="center"/>
    </xf>
    <xf numFmtId="0" fontId="6" fillId="3" borderId="38" xfId="0" applyFont="1" applyFill="1" applyBorder="1" applyAlignment="1">
      <alignment horizontal="center" vertical="center" wrapText="1"/>
    </xf>
    <xf numFmtId="0" fontId="1" fillId="0" borderId="1" xfId="1" applyFont="1" applyFill="1" applyBorder="1" applyAlignment="1"/>
    <xf numFmtId="0" fontId="12" fillId="0" borderId="1" xfId="1" quotePrefix="1" applyFont="1" applyFill="1" applyBorder="1" applyAlignment="1">
      <alignment horizontal="center"/>
    </xf>
    <xf numFmtId="0" fontId="13" fillId="5" borderId="1" xfId="0" applyFont="1" applyFill="1" applyBorder="1" applyAlignment="1">
      <alignment horizontal="left" vertical="top" wrapText="1"/>
    </xf>
    <xf numFmtId="0" fontId="12" fillId="0" borderId="1" xfId="1" applyFont="1" applyBorder="1"/>
    <xf numFmtId="0" fontId="13" fillId="5" borderId="1" xfId="0" applyFont="1" applyFill="1" applyBorder="1" applyAlignment="1">
      <alignment vertical="top"/>
    </xf>
    <xf numFmtId="0" fontId="12" fillId="0" borderId="1" xfId="1" applyFont="1" applyBorder="1" applyAlignment="1">
      <alignment horizontal="right"/>
    </xf>
    <xf numFmtId="0" fontId="12" fillId="0" borderId="1" xfId="1" applyFont="1" applyBorder="1" applyAlignment="1">
      <alignment horizontal="center"/>
    </xf>
    <xf numFmtId="0" fontId="13" fillId="5" borderId="32" xfId="0" applyFont="1" applyFill="1" applyBorder="1" applyAlignment="1">
      <alignment vertical="top" wrapText="1"/>
    </xf>
    <xf numFmtId="0" fontId="13" fillId="5" borderId="2" xfId="0" applyFont="1" applyFill="1" applyBorder="1" applyAlignment="1">
      <alignment vertical="top" wrapText="1"/>
    </xf>
    <xf numFmtId="0" fontId="13" fillId="5" borderId="16" xfId="0" applyFont="1" applyFill="1" applyBorder="1" applyAlignment="1">
      <alignment vertical="top" wrapText="1"/>
    </xf>
    <xf numFmtId="0" fontId="13" fillId="5" borderId="15" xfId="0" applyFont="1" applyFill="1" applyBorder="1" applyAlignment="1">
      <alignment vertical="top" wrapText="1"/>
    </xf>
    <xf numFmtId="0" fontId="13" fillId="5" borderId="33" xfId="0" applyFont="1" applyFill="1" applyBorder="1" applyAlignment="1">
      <alignment vertical="top" wrapText="1"/>
    </xf>
    <xf numFmtId="0" fontId="13" fillId="5" borderId="1" xfId="0" applyFont="1" applyFill="1" applyBorder="1" applyAlignment="1">
      <alignment vertical="top" wrapText="1"/>
    </xf>
    <xf numFmtId="0" fontId="13" fillId="5" borderId="8" xfId="0" applyFont="1" applyFill="1" applyBorder="1" applyAlignment="1">
      <alignment vertical="top" wrapText="1"/>
    </xf>
    <xf numFmtId="0" fontId="13" fillId="5" borderId="7" xfId="0" applyFont="1" applyFill="1" applyBorder="1" applyAlignment="1">
      <alignment vertical="top" wrapText="1"/>
    </xf>
    <xf numFmtId="0" fontId="13" fillId="5" borderId="34" xfId="0" applyFont="1" applyFill="1" applyBorder="1" applyAlignment="1">
      <alignment vertical="top" wrapText="1"/>
    </xf>
    <xf numFmtId="0" fontId="13" fillId="5" borderId="10" xfId="0" applyFont="1" applyFill="1" applyBorder="1" applyAlignment="1">
      <alignment vertical="top" wrapText="1"/>
    </xf>
    <xf numFmtId="0" fontId="13" fillId="5" borderId="11" xfId="0" applyFont="1" applyFill="1" applyBorder="1" applyAlignment="1">
      <alignment vertical="top" wrapText="1"/>
    </xf>
    <xf numFmtId="0" fontId="13" fillId="5" borderId="9" xfId="0" applyFont="1" applyFill="1" applyBorder="1" applyAlignment="1">
      <alignment vertical="top" wrapText="1"/>
    </xf>
    <xf numFmtId="0" fontId="12" fillId="5" borderId="1" xfId="1" applyFont="1" applyFill="1" applyBorder="1" applyAlignment="1">
      <alignment horizontal="center"/>
    </xf>
    <xf numFmtId="0" fontId="12" fillId="0" borderId="1" xfId="1" applyFont="1" applyFill="1" applyBorder="1"/>
    <xf numFmtId="0" fontId="12" fillId="0" borderId="1" xfId="1" applyFont="1" applyFill="1" applyBorder="1" applyAlignment="1"/>
    <xf numFmtId="0" fontId="12" fillId="0" borderId="1" xfId="1" applyFont="1" applyFill="1" applyBorder="1" applyAlignment="1">
      <alignment horizontal="right"/>
    </xf>
    <xf numFmtId="0" fontId="12" fillId="0" borderId="1" xfId="1" applyFont="1" applyBorder="1" applyAlignment="1">
      <alignment horizontal="left" wrapText="1"/>
    </xf>
    <xf numFmtId="0" fontId="12" fillId="5" borderId="1" xfId="1" applyFont="1" applyFill="1" applyBorder="1" applyAlignment="1">
      <alignment horizontal="left" wrapText="1"/>
    </xf>
    <xf numFmtId="0" fontId="12" fillId="0" borderId="1" xfId="1" applyFont="1" applyBorder="1" applyAlignment="1">
      <alignment horizontal="left" vertical="center" wrapText="1"/>
    </xf>
    <xf numFmtId="0" fontId="1" fillId="5" borderId="1" xfId="0" applyFont="1" applyFill="1" applyBorder="1" applyAlignment="1"/>
    <xf numFmtId="0" fontId="15" fillId="0" borderId="1" xfId="1" applyFont="1" applyBorder="1" applyAlignment="1">
      <alignment horizontal="center"/>
    </xf>
    <xf numFmtId="0" fontId="1" fillId="0" borderId="1" xfId="0" applyFont="1" applyBorder="1"/>
    <xf numFmtId="0" fontId="1" fillId="0" borderId="1" xfId="0" applyFont="1" applyBorder="1" applyAlignment="1">
      <alignment horizontal="center"/>
    </xf>
    <xf numFmtId="0" fontId="1" fillId="0" borderId="1" xfId="0" applyFont="1" applyFill="1" applyBorder="1" applyAlignment="1"/>
    <xf numFmtId="0" fontId="1" fillId="0" borderId="1" xfId="0" applyFont="1" applyBorder="1" applyAlignment="1">
      <alignment horizontal="center" wrapText="1"/>
    </xf>
    <xf numFmtId="0" fontId="1" fillId="0" borderId="1" xfId="0" applyFont="1" applyBorder="1" applyAlignment="1">
      <alignment wrapText="1"/>
    </xf>
    <xf numFmtId="14" fontId="1" fillId="0" borderId="1" xfId="0" applyNumberFormat="1" applyFont="1" applyBorder="1" applyAlignment="1">
      <alignment horizontal="center" wrapText="1"/>
    </xf>
    <xf numFmtId="0" fontId="1" fillId="5" borderId="1" xfId="0" applyFont="1" applyFill="1" applyBorder="1" applyAlignment="1">
      <alignment horizontal="center" wrapText="1"/>
    </xf>
    <xf numFmtId="0" fontId="1" fillId="0" borderId="1" xfId="0" applyFont="1" applyBorder="1" applyAlignment="1">
      <alignment horizontal="center" vertical="center" wrapText="1"/>
    </xf>
    <xf numFmtId="0" fontId="16" fillId="0" borderId="1" xfId="0" applyFont="1" applyBorder="1" applyAlignment="1">
      <alignment wrapText="1"/>
    </xf>
    <xf numFmtId="0" fontId="12" fillId="0" borderId="1" xfId="1" applyFont="1" applyFill="1" applyBorder="1" applyAlignment="1">
      <alignment horizontal="right" wrapText="1"/>
    </xf>
    <xf numFmtId="0" fontId="10" fillId="0" borderId="1" xfId="1" applyBorder="1" applyAlignment="1"/>
    <xf numFmtId="0" fontId="12" fillId="5" borderId="1" xfId="1" applyFont="1" applyFill="1" applyBorder="1" applyAlignment="1">
      <alignment horizontal="right"/>
    </xf>
    <xf numFmtId="0" fontId="10" fillId="5" borderId="1" xfId="1" applyFill="1" applyBorder="1" applyAlignment="1">
      <alignment horizontal="right"/>
    </xf>
    <xf numFmtId="0" fontId="18" fillId="5" borderId="1" xfId="1" applyFont="1" applyFill="1" applyBorder="1" applyAlignment="1">
      <alignment horizontal="left" wrapText="1"/>
    </xf>
    <xf numFmtId="0" fontId="18" fillId="5" borderId="1" xfId="1" applyFont="1" applyFill="1" applyBorder="1" applyAlignment="1">
      <alignment horizontal="right" wrapText="1"/>
    </xf>
    <xf numFmtId="0" fontId="17" fillId="5" borderId="1" xfId="1" applyFont="1" applyFill="1" applyBorder="1" applyAlignment="1">
      <alignment horizontal="left" wrapText="1"/>
    </xf>
    <xf numFmtId="0" fontId="0" fillId="0" borderId="1" xfId="0" applyNumberFormat="1" applyFont="1" applyBorder="1" applyAlignment="1">
      <alignment wrapText="1"/>
    </xf>
    <xf numFmtId="0" fontId="0" fillId="0" borderId="1" xfId="0" applyBorder="1"/>
    <xf numFmtId="0" fontId="0" fillId="0" borderId="1" xfId="0" applyBorder="1" applyAlignment="1">
      <alignment wrapText="1"/>
    </xf>
    <xf numFmtId="0" fontId="1" fillId="0" borderId="0" xfId="0" applyFont="1" applyBorder="1" applyAlignment="1">
      <alignment vertical="center"/>
    </xf>
    <xf numFmtId="0" fontId="2" fillId="0" borderId="0" xfId="0" applyFont="1" applyBorder="1" applyAlignment="1">
      <alignment vertical="top" wrapText="1"/>
    </xf>
    <xf numFmtId="1" fontId="0" fillId="0" borderId="0" xfId="0" applyNumberFormat="1" applyFont="1" applyBorder="1" applyAlignment="1">
      <alignment wrapText="1"/>
    </xf>
    <xf numFmtId="0" fontId="10" fillId="0" borderId="1" xfId="1" applyBorder="1"/>
    <xf numFmtId="0" fontId="1" fillId="5" borderId="1" xfId="1" applyFont="1" applyFill="1" applyBorder="1" applyAlignment="1">
      <alignment horizontal="right"/>
    </xf>
    <xf numFmtId="0" fontId="1" fillId="5" borderId="1" xfId="1" applyFont="1" applyFill="1" applyBorder="1" applyAlignment="1">
      <alignment horizontal="center"/>
    </xf>
    <xf numFmtId="0" fontId="6" fillId="3" borderId="5" xfId="0" applyFont="1" applyFill="1" applyBorder="1" applyAlignment="1">
      <alignment horizontal="center" vertical="center" wrapText="1"/>
    </xf>
    <xf numFmtId="0" fontId="6" fillId="3" borderId="25" xfId="0" applyFont="1" applyFill="1" applyBorder="1" applyAlignment="1">
      <alignment horizontal="center" vertical="center" wrapText="1"/>
    </xf>
    <xf numFmtId="0" fontId="6" fillId="3" borderId="22" xfId="0" applyFont="1" applyFill="1" applyBorder="1" applyAlignment="1">
      <alignment horizontal="center" vertical="center" wrapText="1"/>
    </xf>
    <xf numFmtId="0" fontId="11" fillId="0" borderId="1" xfId="1" applyFont="1" applyBorder="1"/>
    <xf numFmtId="0" fontId="11" fillId="0" borderId="1" xfId="1" applyFont="1" applyBorder="1" applyAlignment="1">
      <alignment horizontal="right"/>
    </xf>
    <xf numFmtId="0" fontId="11" fillId="0" borderId="1" xfId="1" applyFont="1" applyBorder="1" applyAlignment="1">
      <alignment horizontal="center"/>
    </xf>
    <xf numFmtId="0" fontId="17" fillId="0" borderId="1" xfId="1" applyFont="1" applyBorder="1" applyAlignment="1">
      <alignment horizontal="center"/>
    </xf>
    <xf numFmtId="0" fontId="10" fillId="0" borderId="1" xfId="1" applyBorder="1" applyAlignment="1">
      <alignment horizontal="center"/>
    </xf>
    <xf numFmtId="0" fontId="11" fillId="5" borderId="1" xfId="1" applyFont="1" applyFill="1" applyBorder="1"/>
    <xf numFmtId="0" fontId="12" fillId="5" borderId="1" xfId="1" applyFont="1" applyFill="1" applyBorder="1"/>
    <xf numFmtId="0" fontId="11" fillId="5" borderId="1" xfId="1" applyFont="1" applyFill="1" applyBorder="1" applyAlignment="1">
      <alignment horizontal="right"/>
    </xf>
    <xf numFmtId="0" fontId="11" fillId="0" borderId="0" xfId="1" applyFont="1" applyBorder="1"/>
    <xf numFmtId="0" fontId="12" fillId="0" borderId="0" xfId="1" applyFont="1" applyBorder="1"/>
    <xf numFmtId="0" fontId="12" fillId="0" borderId="1" xfId="1" applyFont="1" applyFill="1" applyBorder="1" applyAlignment="1">
      <alignment horizontal="center" wrapText="1"/>
    </xf>
    <xf numFmtId="0" fontId="11" fillId="5" borderId="1" xfId="1" applyFont="1" applyFill="1" applyBorder="1" applyAlignment="1">
      <alignment horizontal="center"/>
    </xf>
    <xf numFmtId="0" fontId="1" fillId="0" borderId="0" xfId="0" applyFont="1" applyAlignment="1">
      <alignment horizontal="center" vertical="center"/>
    </xf>
    <xf numFmtId="0" fontId="20" fillId="6" borderId="37" xfId="1" applyFont="1" applyFill="1" applyBorder="1" applyAlignment="1">
      <alignment horizontal="center"/>
    </xf>
    <xf numFmtId="0" fontId="20" fillId="0" borderId="1" xfId="1" applyFont="1" applyBorder="1" applyAlignment="1">
      <alignment horizontal="center"/>
    </xf>
    <xf numFmtId="0" fontId="4" fillId="0" borderId="1" xfId="0" applyFont="1" applyBorder="1" applyAlignment="1">
      <alignment horizontal="center"/>
    </xf>
    <xf numFmtId="0" fontId="20" fillId="0" borderId="1" xfId="1" applyFont="1" applyFill="1" applyBorder="1" applyAlignment="1">
      <alignment horizontal="center"/>
    </xf>
    <xf numFmtId="0" fontId="21" fillId="0" borderId="1" xfId="1" applyFont="1" applyBorder="1" applyAlignment="1">
      <alignment horizontal="center"/>
    </xf>
    <xf numFmtId="0" fontId="22" fillId="0" borderId="1" xfId="0" applyFont="1" applyBorder="1" applyAlignment="1">
      <alignment horizontal="center"/>
    </xf>
    <xf numFmtId="0" fontId="22" fillId="5" borderId="1" xfId="0" applyFont="1" applyFill="1" applyBorder="1" applyAlignment="1">
      <alignment horizontal="center"/>
    </xf>
    <xf numFmtId="0" fontId="4" fillId="0" borderId="1" xfId="0" applyFont="1" applyFill="1" applyBorder="1" applyAlignment="1">
      <alignment horizontal="center"/>
    </xf>
    <xf numFmtId="0" fontId="4" fillId="5" borderId="1" xfId="0" applyFont="1" applyFill="1" applyBorder="1" applyAlignment="1">
      <alignment horizontal="center"/>
    </xf>
    <xf numFmtId="164" fontId="23" fillId="7" borderId="1" xfId="2" applyFont="1" applyFill="1" applyBorder="1" applyAlignment="1">
      <alignment horizontal="center"/>
    </xf>
    <xf numFmtId="0" fontId="24" fillId="5" borderId="1" xfId="0" applyFont="1" applyFill="1" applyBorder="1" applyAlignment="1">
      <alignment horizontal="center"/>
    </xf>
    <xf numFmtId="0" fontId="25" fillId="0" borderId="1" xfId="0" applyNumberFormat="1" applyFont="1" applyFill="1" applyBorder="1" applyAlignment="1" applyProtection="1">
      <alignment horizontal="center" vertical="center" wrapText="1" shrinkToFit="1"/>
    </xf>
    <xf numFmtId="0" fontId="4" fillId="0" borderId="1" xfId="1" applyFont="1" applyFill="1" applyBorder="1" applyAlignment="1">
      <alignment horizontal="center"/>
    </xf>
    <xf numFmtId="0" fontId="26" fillId="3" borderId="0" xfId="0" applyFont="1" applyFill="1" applyAlignment="1">
      <alignment vertical="center" wrapText="1"/>
    </xf>
    <xf numFmtId="0" fontId="6" fillId="3" borderId="0" xfId="0" applyFont="1" applyFill="1" applyBorder="1" applyAlignment="1">
      <alignment horizontal="center" vertical="center" wrapText="1"/>
    </xf>
    <xf numFmtId="0" fontId="26" fillId="0" borderId="0" xfId="0" applyFont="1" applyAlignment="1">
      <alignment vertical="center"/>
    </xf>
    <xf numFmtId="0" fontId="0" fillId="0" borderId="0" xfId="0" applyBorder="1"/>
    <xf numFmtId="0" fontId="12" fillId="0" borderId="0" xfId="1" applyFont="1" applyFill="1" applyBorder="1" applyAlignment="1"/>
    <xf numFmtId="0" fontId="22" fillId="5" borderId="39" xfId="0" applyFont="1" applyFill="1" applyBorder="1" applyAlignment="1">
      <alignment horizontal="center"/>
    </xf>
    <xf numFmtId="0" fontId="16" fillId="5" borderId="1" xfId="0" applyFont="1" applyFill="1" applyBorder="1" applyAlignment="1">
      <alignment wrapText="1"/>
    </xf>
    <xf numFmtId="0" fontId="16" fillId="5" borderId="1" xfId="0" applyFont="1" applyFill="1" applyBorder="1" applyAlignment="1">
      <alignment horizontal="left" vertical="top" wrapText="1"/>
    </xf>
    <xf numFmtId="0" fontId="16" fillId="5" borderId="1" xfId="1" applyFont="1" applyFill="1" applyBorder="1"/>
    <xf numFmtId="0" fontId="27" fillId="5" borderId="1" xfId="0" applyFont="1" applyFill="1" applyBorder="1"/>
    <xf numFmtId="0" fontId="16" fillId="5" borderId="1" xfId="0" applyFont="1" applyFill="1" applyBorder="1" applyAlignment="1"/>
    <xf numFmtId="0" fontId="16" fillId="5" borderId="1" xfId="0" applyFont="1" applyFill="1" applyBorder="1" applyAlignment="1">
      <alignment vertical="top"/>
    </xf>
    <xf numFmtId="0" fontId="16" fillId="5" borderId="0" xfId="0" applyFont="1" applyFill="1" applyAlignment="1">
      <alignment vertical="top"/>
    </xf>
    <xf numFmtId="0" fontId="16" fillId="5" borderId="1" xfId="0" applyFont="1" applyFill="1" applyBorder="1" applyAlignment="1">
      <alignment vertical="center"/>
    </xf>
    <xf numFmtId="0" fontId="16" fillId="5" borderId="0" xfId="0" applyFont="1" applyFill="1" applyAlignment="1">
      <alignment vertical="center"/>
    </xf>
    <xf numFmtId="0" fontId="16" fillId="5" borderId="1" xfId="0" applyFont="1" applyFill="1" applyBorder="1"/>
    <xf numFmtId="0" fontId="16" fillId="5" borderId="1" xfId="1" applyFont="1" applyFill="1" applyBorder="1" applyAlignment="1"/>
    <xf numFmtId="0" fontId="16" fillId="5" borderId="1" xfId="1" applyFont="1" applyFill="1" applyBorder="1" applyAlignment="1">
      <alignment horizontal="left" wrapText="1"/>
    </xf>
    <xf numFmtId="0" fontId="16" fillId="5" borderId="1" xfId="1" applyFont="1" applyFill="1" applyBorder="1" applyAlignment="1">
      <alignment horizontal="left" vertical="center" wrapText="1"/>
    </xf>
    <xf numFmtId="0" fontId="28" fillId="5" borderId="1" xfId="0" applyFont="1" applyFill="1" applyBorder="1" applyAlignment="1">
      <alignment vertical="top" wrapText="1"/>
    </xf>
    <xf numFmtId="0" fontId="28" fillId="5" borderId="1" xfId="0" applyFont="1" applyFill="1" applyBorder="1" applyAlignment="1">
      <alignment vertical="top"/>
    </xf>
    <xf numFmtId="0" fontId="27" fillId="5" borderId="1" xfId="0" applyFont="1" applyFill="1" applyBorder="1" applyAlignment="1">
      <alignment wrapText="1"/>
    </xf>
    <xf numFmtId="0" fontId="29" fillId="5" borderId="1" xfId="1" applyFont="1" applyFill="1" applyBorder="1"/>
    <xf numFmtId="0" fontId="30" fillId="0" borderId="0" xfId="0" applyFont="1" applyAlignment="1">
      <alignment vertical="center"/>
    </xf>
    <xf numFmtId="0" fontId="29" fillId="5" borderId="0" xfId="1" applyFont="1" applyFill="1" applyBorder="1"/>
    <xf numFmtId="0" fontId="16" fillId="5" borderId="0" xfId="0" applyFont="1" applyFill="1" applyBorder="1" applyAlignment="1">
      <alignment vertical="center"/>
    </xf>
    <xf numFmtId="0" fontId="16" fillId="5" borderId="0" xfId="1" applyFont="1" applyFill="1" applyBorder="1" applyAlignment="1"/>
    <xf numFmtId="0" fontId="16" fillId="5" borderId="0" xfId="0" applyFont="1" applyFill="1" applyBorder="1" applyAlignment="1"/>
    <xf numFmtId="0" fontId="31" fillId="0" borderId="0" xfId="1" applyFont="1" applyFill="1" applyBorder="1" applyAlignment="1">
      <alignment horizontal="left"/>
    </xf>
    <xf numFmtId="0" fontId="0" fillId="0" borderId="0" xfId="0" applyFont="1" applyAlignment="1">
      <alignment horizontal="left"/>
    </xf>
    <xf numFmtId="0" fontId="32" fillId="8" borderId="1" xfId="0" applyFont="1" applyFill="1" applyBorder="1" applyAlignment="1">
      <alignment horizontal="center" wrapText="1"/>
    </xf>
    <xf numFmtId="0" fontId="27" fillId="0" borderId="0" xfId="3" applyFont="1" applyAlignment="1">
      <alignment horizontal="center"/>
    </xf>
    <xf numFmtId="0" fontId="0" fillId="0" borderId="0" xfId="0" applyAlignment="1">
      <alignment horizontal="left"/>
    </xf>
    <xf numFmtId="0" fontId="0" fillId="0" borderId="0" xfId="0" applyAlignment="1">
      <alignment horizontal="center"/>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6" xfId="0" applyFont="1" applyBorder="1" applyAlignment="1">
      <alignment horizontal="center" vertical="center" wrapText="1"/>
    </xf>
    <xf numFmtId="0" fontId="6" fillId="3" borderId="21" xfId="0" applyFont="1" applyFill="1" applyBorder="1" applyAlignment="1">
      <alignment horizontal="center" vertical="center"/>
    </xf>
    <xf numFmtId="0" fontId="6" fillId="3" borderId="36" xfId="0" applyFont="1" applyFill="1" applyBorder="1" applyAlignment="1">
      <alignment horizontal="center" vertical="center"/>
    </xf>
    <xf numFmtId="0" fontId="6" fillId="3" borderId="3" xfId="0" applyFont="1" applyFill="1" applyBorder="1" applyAlignment="1">
      <alignment horizontal="center" vertical="center" wrapText="1"/>
    </xf>
    <xf numFmtId="0" fontId="6" fillId="3" borderId="35"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24" xfId="0" applyFont="1" applyFill="1" applyBorder="1" applyAlignment="1">
      <alignment horizontal="center" vertical="center" wrapText="1"/>
    </xf>
    <xf numFmtId="0" fontId="6" fillId="3" borderId="6" xfId="0" applyFont="1" applyFill="1" applyBorder="1" applyAlignment="1">
      <alignment horizontal="center" vertical="center"/>
    </xf>
    <xf numFmtId="0" fontId="6" fillId="3" borderId="26" xfId="0" applyFont="1" applyFill="1" applyBorder="1" applyAlignment="1">
      <alignment horizontal="center" vertical="center"/>
    </xf>
    <xf numFmtId="0" fontId="6" fillId="3" borderId="5" xfId="0" applyFont="1" applyFill="1" applyBorder="1" applyAlignment="1">
      <alignment horizontal="center" vertical="center" wrapText="1"/>
    </xf>
    <xf numFmtId="0" fontId="6" fillId="3" borderId="25" xfId="0" applyFont="1" applyFill="1" applyBorder="1" applyAlignment="1">
      <alignment horizontal="center" vertical="center" wrapText="1"/>
    </xf>
    <xf numFmtId="0" fontId="6" fillId="3" borderId="29" xfId="0" applyFont="1" applyFill="1" applyBorder="1" applyAlignment="1">
      <alignment horizontal="center" vertical="center"/>
    </xf>
    <xf numFmtId="0" fontId="6" fillId="3" borderId="30" xfId="0" applyFont="1" applyFill="1" applyBorder="1" applyAlignment="1">
      <alignment horizontal="center" vertical="center"/>
    </xf>
    <xf numFmtId="0" fontId="6" fillId="3" borderId="31" xfId="0" applyFont="1" applyFill="1" applyBorder="1" applyAlignment="1">
      <alignment horizontal="center" vertical="center"/>
    </xf>
    <xf numFmtId="0" fontId="6" fillId="3" borderId="12"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6" fillId="3" borderId="22" xfId="0" applyFont="1" applyFill="1" applyBorder="1" applyAlignment="1">
      <alignment horizontal="center" vertical="center" wrapText="1"/>
    </xf>
  </cellXfs>
  <cellStyles count="4">
    <cellStyle name="Excel Built-in Normal" xfId="2" xr:uid="{8D6290CC-5904-4453-ACA3-3E4A9851ECC9}"/>
    <cellStyle name="Κανονικό" xfId="0" builtinId="0"/>
    <cellStyle name="Κανονικό 2" xfId="3" xr:uid="{B7FB3CCA-8E4A-442A-BDDD-289E67B34B2B}"/>
    <cellStyle name="Κανονικό_Φύλλο1" xfId="1" xr:uid="{610EE837-C5B8-47F6-B9A4-B6DDD974659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Oikon\AppData\Local\Temp\pid-10040\&#935;&#945;&#961;&#964;&#959;&#947;&#961;&#940;&#966;&#951;&#963;&#951;_&#917;&#922;&#928;&#913;&#921;&#916;&#917;&#933;&#931;&#919;&#931;_&#919;&#928;&#917;&#921;&#929;&#927;&#93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Σχολ. Μονάδες"/>
      <sheetName val="Χαρτογράφηση Κτιρ. Εγκατ."/>
      <sheetName val="Χαρτογράφηση ΤΠΕ"/>
      <sheetName val="ΓΡΑΦΗΜΑΤΑ"/>
      <sheetName val="ΔΕΔΟΜΕΝΑ"/>
    </sheetNames>
    <sheetDataSet>
      <sheetData sheetId="0"/>
      <sheetData sheetId="1"/>
      <sheetData sheetId="2"/>
      <sheetData sheetId="3"/>
      <sheetData sheetId="4"/>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428B5-6F71-4233-90FC-69D24EB7789E}">
  <dimension ref="A1:AC555"/>
  <sheetViews>
    <sheetView topLeftCell="I1" workbookViewId="0">
      <selection activeCell="A3" sqref="A3:A555"/>
    </sheetView>
  </sheetViews>
  <sheetFormatPr defaultColWidth="9.125" defaultRowHeight="15"/>
  <cols>
    <col min="1" max="1" width="7" style="1" customWidth="1"/>
    <col min="2" max="2" width="29.875" style="1" customWidth="1"/>
    <col min="3" max="3" width="52.75" style="1" customWidth="1"/>
    <col min="4" max="4" width="10.375" style="1" customWidth="1"/>
    <col min="5" max="6" width="19.625" style="1" customWidth="1"/>
    <col min="7" max="7" width="26.375" style="1" customWidth="1"/>
    <col min="8" max="8" width="22.625" style="1" customWidth="1"/>
    <col min="9" max="9" width="28.875" style="99" customWidth="1"/>
    <col min="10" max="10" width="27" style="1" customWidth="1"/>
    <col min="11" max="11" width="15.125" style="1" customWidth="1"/>
    <col min="12" max="12" width="27" style="1" customWidth="1"/>
    <col min="13" max="13" width="16.875" style="1" customWidth="1"/>
    <col min="14" max="14" width="13.375" style="1" customWidth="1"/>
    <col min="15" max="15" width="13" style="1" customWidth="1"/>
    <col min="16" max="16" width="13.375" style="1" customWidth="1"/>
    <col min="17" max="17" width="18.375" style="1" customWidth="1"/>
    <col min="18" max="18" width="13.5" style="1" customWidth="1"/>
    <col min="19" max="19" width="13" style="1" customWidth="1"/>
    <col min="20" max="20" width="13.25" style="1" customWidth="1"/>
    <col min="21" max="21" width="12.875" style="1" customWidth="1"/>
    <col min="22" max="22" width="13.375" style="1" customWidth="1"/>
    <col min="23" max="23" width="12.625" style="1" customWidth="1"/>
    <col min="24" max="24" width="12.875" style="1" customWidth="1"/>
    <col min="25" max="25" width="13.875" style="1" customWidth="1"/>
    <col min="26" max="26" width="12.75" style="1" customWidth="1"/>
    <col min="27" max="27" width="14.125" style="1" customWidth="1"/>
    <col min="28" max="28" width="13.375" style="1" customWidth="1"/>
    <col min="29" max="16384" width="9.125" style="1"/>
  </cols>
  <sheetData>
    <row r="1" spans="1:29" s="6" customFormat="1" ht="54.75" customHeight="1">
      <c r="A1" s="156" t="s">
        <v>0</v>
      </c>
      <c r="B1" s="86" t="s">
        <v>100</v>
      </c>
      <c r="C1" s="158" t="s">
        <v>4</v>
      </c>
      <c r="D1" s="84" t="s">
        <v>829</v>
      </c>
      <c r="E1" s="162" t="s">
        <v>2</v>
      </c>
      <c r="F1" s="162" t="s">
        <v>3</v>
      </c>
      <c r="G1" s="158" t="s">
        <v>1</v>
      </c>
      <c r="H1" s="160" t="s">
        <v>17</v>
      </c>
      <c r="I1" s="27" t="s">
        <v>89</v>
      </c>
      <c r="J1" s="27" t="s">
        <v>90</v>
      </c>
      <c r="K1" s="27" t="s">
        <v>31</v>
      </c>
      <c r="L1" s="154" t="s">
        <v>33</v>
      </c>
      <c r="M1" s="164" t="s">
        <v>99</v>
      </c>
      <c r="N1" s="165"/>
      <c r="O1" s="165"/>
      <c r="P1" s="165"/>
      <c r="Q1" s="165"/>
      <c r="R1" s="166"/>
      <c r="S1" s="147" t="s">
        <v>5</v>
      </c>
      <c r="T1" s="148"/>
      <c r="U1" s="148"/>
      <c r="V1" s="149"/>
      <c r="W1" s="150" t="s">
        <v>10</v>
      </c>
      <c r="X1" s="151"/>
      <c r="Y1" s="151"/>
      <c r="Z1" s="152"/>
      <c r="AA1" s="152"/>
      <c r="AB1" s="153"/>
    </row>
    <row r="2" spans="1:29" s="6" customFormat="1" ht="39" thickBot="1">
      <c r="A2" s="157"/>
      <c r="B2" s="30"/>
      <c r="C2" s="159"/>
      <c r="D2" s="85"/>
      <c r="E2" s="163"/>
      <c r="F2" s="163"/>
      <c r="G2" s="159"/>
      <c r="H2" s="161"/>
      <c r="I2" s="28"/>
      <c r="J2" s="28"/>
      <c r="K2" s="28"/>
      <c r="L2" s="155"/>
      <c r="M2" s="100" t="s">
        <v>93</v>
      </c>
      <c r="N2" s="100" t="s">
        <v>94</v>
      </c>
      <c r="O2" s="100" t="s">
        <v>95</v>
      </c>
      <c r="P2" s="100" t="s">
        <v>96</v>
      </c>
      <c r="Q2" s="100" t="s">
        <v>97</v>
      </c>
      <c r="R2" s="100" t="s">
        <v>98</v>
      </c>
      <c r="S2" s="3" t="s">
        <v>6</v>
      </c>
      <c r="T2" s="3" t="s">
        <v>7</v>
      </c>
      <c r="U2" s="4" t="s">
        <v>8</v>
      </c>
      <c r="V2" s="11" t="s">
        <v>9</v>
      </c>
      <c r="W2" s="3" t="s">
        <v>11</v>
      </c>
      <c r="X2" s="3" t="s">
        <v>12</v>
      </c>
      <c r="Y2" s="4" t="s">
        <v>13</v>
      </c>
      <c r="Z2" s="4" t="s">
        <v>14</v>
      </c>
      <c r="AA2" s="7" t="s">
        <v>15</v>
      </c>
      <c r="AB2" s="10" t="s">
        <v>16</v>
      </c>
    </row>
    <row r="3" spans="1:29" s="19" customFormat="1" ht="20.25" customHeight="1">
      <c r="A3" s="33">
        <v>1</v>
      </c>
      <c r="B3" s="33" t="s">
        <v>101</v>
      </c>
      <c r="C3" s="34" t="s">
        <v>60</v>
      </c>
      <c r="D3" t="str">
        <f>"0401010"</f>
        <v>0401010</v>
      </c>
      <c r="E3" s="57" t="s">
        <v>22</v>
      </c>
      <c r="F3" s="34" t="s">
        <v>25</v>
      </c>
      <c r="G3" s="34" t="s">
        <v>48</v>
      </c>
      <c r="H3" s="35" t="s">
        <v>25</v>
      </c>
      <c r="I3" s="37">
        <v>1933</v>
      </c>
      <c r="J3" s="37" t="s">
        <v>39</v>
      </c>
      <c r="K3" s="34" t="s">
        <v>91</v>
      </c>
      <c r="L3" s="35"/>
      <c r="M3" s="101">
        <v>234</v>
      </c>
      <c r="N3" s="101">
        <v>221</v>
      </c>
      <c r="O3" s="101">
        <v>201</v>
      </c>
      <c r="P3" s="101">
        <v>216</v>
      </c>
      <c r="Q3" s="101">
        <v>206</v>
      </c>
      <c r="R3" s="101">
        <v>181</v>
      </c>
      <c r="S3" s="38"/>
      <c r="T3" s="39"/>
      <c r="U3" s="39"/>
      <c r="V3" s="40"/>
      <c r="W3" s="41"/>
      <c r="X3" s="39"/>
      <c r="Y3" s="17"/>
      <c r="Z3" s="18"/>
      <c r="AA3" s="18"/>
      <c r="AB3" s="40"/>
    </row>
    <row r="4" spans="1:29" s="19" customFormat="1" ht="20.25" customHeight="1">
      <c r="A4" s="33">
        <v>2</v>
      </c>
      <c r="B4" s="33" t="s">
        <v>101</v>
      </c>
      <c r="C4" s="34" t="s">
        <v>102</v>
      </c>
      <c r="D4" t="str">
        <f>"0401015"</f>
        <v>0401015</v>
      </c>
      <c r="E4" s="57" t="s">
        <v>22</v>
      </c>
      <c r="F4" s="34" t="s">
        <v>25</v>
      </c>
      <c r="G4" s="34" t="s">
        <v>48</v>
      </c>
      <c r="H4" s="35" t="s">
        <v>25</v>
      </c>
      <c r="I4" s="37">
        <v>1993</v>
      </c>
      <c r="J4" s="29" t="s">
        <v>39</v>
      </c>
      <c r="K4" s="34" t="s">
        <v>91</v>
      </c>
      <c r="L4" s="24"/>
      <c r="M4" s="101">
        <v>37</v>
      </c>
      <c r="N4" s="101">
        <v>39</v>
      </c>
      <c r="O4" s="101">
        <v>35</v>
      </c>
      <c r="P4" s="101">
        <v>36</v>
      </c>
      <c r="Q4" s="101">
        <v>33</v>
      </c>
      <c r="R4" s="101">
        <v>44</v>
      </c>
      <c r="S4" s="42"/>
      <c r="T4" s="43"/>
      <c r="U4" s="43"/>
      <c r="V4" s="44"/>
      <c r="W4" s="45"/>
      <c r="X4" s="43"/>
      <c r="Y4" s="20"/>
      <c r="Z4" s="21"/>
      <c r="AA4" s="21"/>
      <c r="AB4" s="44"/>
    </row>
    <row r="5" spans="1:29" s="19" customFormat="1" ht="20.25" customHeight="1">
      <c r="A5" s="33">
        <v>3</v>
      </c>
      <c r="B5" s="33" t="s">
        <v>101</v>
      </c>
      <c r="C5" s="34" t="s">
        <v>61</v>
      </c>
      <c r="D5" t="str">
        <f>"0401020"</f>
        <v>0401020</v>
      </c>
      <c r="E5" s="57" t="s">
        <v>22</v>
      </c>
      <c r="F5" s="34" t="s">
        <v>25</v>
      </c>
      <c r="G5" s="34" t="s">
        <v>48</v>
      </c>
      <c r="H5" s="35" t="s">
        <v>25</v>
      </c>
      <c r="I5" s="37">
        <v>1993</v>
      </c>
      <c r="J5" s="29" t="s">
        <v>39</v>
      </c>
      <c r="K5" s="34" t="s">
        <v>91</v>
      </c>
      <c r="L5" s="35"/>
      <c r="M5" s="101">
        <v>232</v>
      </c>
      <c r="N5" s="101">
        <v>237</v>
      </c>
      <c r="O5" s="101">
        <v>203</v>
      </c>
      <c r="P5" s="101">
        <v>188</v>
      </c>
      <c r="Q5" s="101">
        <v>161</v>
      </c>
      <c r="R5" s="101">
        <v>189</v>
      </c>
      <c r="S5" s="42"/>
      <c r="T5" s="43"/>
      <c r="U5" s="43"/>
      <c r="V5" s="44"/>
      <c r="W5" s="45"/>
      <c r="X5" s="43"/>
      <c r="Y5" s="20"/>
      <c r="Z5" s="21"/>
      <c r="AA5" s="21"/>
      <c r="AB5" s="44"/>
    </row>
    <row r="6" spans="1:29" s="19" customFormat="1" ht="20.25" customHeight="1" thickBot="1">
      <c r="A6" s="33">
        <v>4</v>
      </c>
      <c r="B6" s="33" t="s">
        <v>101</v>
      </c>
      <c r="C6" s="34" t="s">
        <v>62</v>
      </c>
      <c r="D6" t="str">
        <f>"0401030"</f>
        <v>0401030</v>
      </c>
      <c r="E6" s="57" t="s">
        <v>22</v>
      </c>
      <c r="F6" s="34" t="s">
        <v>25</v>
      </c>
      <c r="G6" s="34" t="s">
        <v>48</v>
      </c>
      <c r="H6" s="35" t="s">
        <v>25</v>
      </c>
      <c r="I6" s="37">
        <v>1975</v>
      </c>
      <c r="J6" s="29" t="s">
        <v>39</v>
      </c>
      <c r="K6" s="34" t="s">
        <v>91</v>
      </c>
      <c r="L6" s="35"/>
      <c r="M6" s="101">
        <v>200</v>
      </c>
      <c r="N6" s="101">
        <v>195</v>
      </c>
      <c r="O6" s="101">
        <v>207</v>
      </c>
      <c r="P6" s="101">
        <v>197</v>
      </c>
      <c r="Q6" s="101">
        <v>198</v>
      </c>
      <c r="R6" s="101">
        <v>173</v>
      </c>
      <c r="S6" s="46"/>
      <c r="T6" s="47"/>
      <c r="U6" s="47"/>
      <c r="V6" s="48"/>
      <c r="W6" s="49"/>
      <c r="X6" s="47"/>
      <c r="Y6" s="22"/>
      <c r="Z6" s="23"/>
      <c r="AA6" s="23"/>
      <c r="AB6" s="48"/>
    </row>
    <row r="7" spans="1:29" s="25" customFormat="1" ht="17.25">
      <c r="A7" s="33">
        <v>5</v>
      </c>
      <c r="B7" s="33" t="s">
        <v>101</v>
      </c>
      <c r="C7" s="34" t="s">
        <v>63</v>
      </c>
      <c r="D7" t="str">
        <f>"0401031"</f>
        <v>0401031</v>
      </c>
      <c r="E7" s="57" t="s">
        <v>22</v>
      </c>
      <c r="F7" s="34" t="s">
        <v>25</v>
      </c>
      <c r="G7" s="34" t="s">
        <v>48</v>
      </c>
      <c r="H7" s="35" t="s">
        <v>25</v>
      </c>
      <c r="I7" s="37">
        <v>1978</v>
      </c>
      <c r="J7" s="29" t="s">
        <v>39</v>
      </c>
      <c r="K7" s="34" t="s">
        <v>91</v>
      </c>
      <c r="L7" s="35"/>
      <c r="M7" s="101">
        <v>132</v>
      </c>
      <c r="N7" s="101">
        <v>136</v>
      </c>
      <c r="O7" s="101">
        <v>140</v>
      </c>
      <c r="P7" s="101">
        <v>153</v>
      </c>
      <c r="Q7" s="101">
        <v>149</v>
      </c>
      <c r="R7" s="101">
        <v>131</v>
      </c>
      <c r="AC7" s="26" t="s">
        <v>247</v>
      </c>
    </row>
    <row r="8" spans="1:29" s="25" customFormat="1" ht="15.75">
      <c r="A8" s="33">
        <v>6</v>
      </c>
      <c r="B8" s="33" t="s">
        <v>101</v>
      </c>
      <c r="C8" s="34" t="s">
        <v>64</v>
      </c>
      <c r="D8" t="str">
        <f>"0401032"</f>
        <v>0401032</v>
      </c>
      <c r="E8" s="57" t="s">
        <v>22</v>
      </c>
      <c r="F8" s="34" t="s">
        <v>25</v>
      </c>
      <c r="G8" s="34" t="s">
        <v>48</v>
      </c>
      <c r="H8" s="35" t="s">
        <v>25</v>
      </c>
      <c r="I8" s="58" t="s">
        <v>92</v>
      </c>
      <c r="J8" s="29" t="s">
        <v>248</v>
      </c>
      <c r="K8" s="34" t="s">
        <v>91</v>
      </c>
      <c r="L8" s="24"/>
      <c r="M8" s="101">
        <v>102</v>
      </c>
      <c r="N8" s="101">
        <v>116</v>
      </c>
      <c r="O8" s="101">
        <v>127</v>
      </c>
      <c r="P8" s="101">
        <v>125</v>
      </c>
      <c r="Q8" s="101">
        <v>118</v>
      </c>
      <c r="R8" s="101">
        <v>113</v>
      </c>
    </row>
    <row r="9" spans="1:29" s="25" customFormat="1" ht="15.75">
      <c r="A9" s="33">
        <v>7</v>
      </c>
      <c r="B9" s="33" t="s">
        <v>101</v>
      </c>
      <c r="C9" s="34" t="s">
        <v>67</v>
      </c>
      <c r="D9" t="str">
        <f>"0401040"</f>
        <v>0401040</v>
      </c>
      <c r="E9" s="57" t="s">
        <v>22</v>
      </c>
      <c r="F9" s="34" t="s">
        <v>25</v>
      </c>
      <c r="G9" s="34" t="s">
        <v>48</v>
      </c>
      <c r="H9" s="35" t="s">
        <v>25</v>
      </c>
      <c r="I9" s="37">
        <v>1989</v>
      </c>
      <c r="J9" s="29" t="s">
        <v>39</v>
      </c>
      <c r="K9" s="34" t="s">
        <v>91</v>
      </c>
      <c r="L9" s="24"/>
      <c r="M9" s="101">
        <v>80</v>
      </c>
      <c r="N9" s="101">
        <v>88</v>
      </c>
      <c r="O9" s="101">
        <v>82</v>
      </c>
      <c r="P9" s="101">
        <v>67</v>
      </c>
      <c r="Q9" s="101">
        <v>55</v>
      </c>
      <c r="R9" s="101">
        <v>51</v>
      </c>
    </row>
    <row r="10" spans="1:29" s="25" customFormat="1" ht="15.75">
      <c r="A10" s="33">
        <v>8</v>
      </c>
      <c r="B10" s="33" t="s">
        <v>101</v>
      </c>
      <c r="C10" s="34" t="s">
        <v>66</v>
      </c>
      <c r="D10" t="str">
        <f>"0408010"</f>
        <v>0408010</v>
      </c>
      <c r="E10" s="57" t="s">
        <v>22</v>
      </c>
      <c r="F10" s="34" t="s">
        <v>25</v>
      </c>
      <c r="G10" s="34" t="s">
        <v>48</v>
      </c>
      <c r="H10" s="24" t="s">
        <v>52</v>
      </c>
      <c r="I10" s="37">
        <v>1984</v>
      </c>
      <c r="J10" s="29" t="s">
        <v>39</v>
      </c>
      <c r="K10" s="34" t="s">
        <v>91</v>
      </c>
      <c r="L10" s="24"/>
      <c r="M10" s="101">
        <v>59</v>
      </c>
      <c r="N10" s="101">
        <v>56</v>
      </c>
      <c r="O10" s="101">
        <v>74</v>
      </c>
      <c r="P10" s="101">
        <v>77</v>
      </c>
      <c r="Q10" s="101">
        <v>81</v>
      </c>
      <c r="R10" s="101">
        <v>59</v>
      </c>
    </row>
    <row r="11" spans="1:29" s="25" customFormat="1" ht="15.75">
      <c r="A11" s="33">
        <v>9</v>
      </c>
      <c r="B11" s="33" t="s">
        <v>101</v>
      </c>
      <c r="C11" s="34" t="s">
        <v>103</v>
      </c>
      <c r="D11" t="str">
        <f>"0413010"</f>
        <v>0413010</v>
      </c>
      <c r="E11" s="57" t="s">
        <v>22</v>
      </c>
      <c r="F11" s="34" t="s">
        <v>25</v>
      </c>
      <c r="G11" s="34" t="s">
        <v>48</v>
      </c>
      <c r="H11" s="35" t="s">
        <v>25</v>
      </c>
      <c r="I11" s="37">
        <v>1990</v>
      </c>
      <c r="J11" s="29" t="s">
        <v>39</v>
      </c>
      <c r="K11" s="34" t="s">
        <v>91</v>
      </c>
      <c r="L11" s="24"/>
      <c r="M11" s="101">
        <v>90</v>
      </c>
      <c r="N11" s="101">
        <v>100</v>
      </c>
      <c r="O11" s="101">
        <v>117</v>
      </c>
      <c r="P11" s="101">
        <v>126</v>
      </c>
      <c r="Q11" s="101">
        <v>133</v>
      </c>
      <c r="R11" s="101">
        <v>123</v>
      </c>
    </row>
    <row r="12" spans="1:29" s="25" customFormat="1" ht="15.75">
      <c r="A12" s="33">
        <v>10</v>
      </c>
      <c r="B12" s="33" t="s">
        <v>101</v>
      </c>
      <c r="C12" s="34" t="s">
        <v>71</v>
      </c>
      <c r="D12" t="str">
        <f>"0413020"</f>
        <v>0413020</v>
      </c>
      <c r="E12" s="57" t="s">
        <v>22</v>
      </c>
      <c r="F12" s="34" t="s">
        <v>25</v>
      </c>
      <c r="G12" s="34" t="s">
        <v>48</v>
      </c>
      <c r="H12" s="35" t="s">
        <v>25</v>
      </c>
      <c r="I12" s="37">
        <v>2005</v>
      </c>
      <c r="J12" s="29" t="s">
        <v>39</v>
      </c>
      <c r="K12" s="34" t="s">
        <v>91</v>
      </c>
      <c r="L12" s="24"/>
      <c r="M12" s="101">
        <v>63</v>
      </c>
      <c r="N12" s="101">
        <v>75</v>
      </c>
      <c r="O12" s="101">
        <v>72</v>
      </c>
      <c r="P12" s="101">
        <v>68</v>
      </c>
      <c r="Q12" s="101">
        <v>68</v>
      </c>
      <c r="R12" s="101">
        <v>76</v>
      </c>
    </row>
    <row r="13" spans="1:29" s="25" customFormat="1" ht="15.75">
      <c r="A13" s="33">
        <v>11</v>
      </c>
      <c r="B13" s="33" t="s">
        <v>101</v>
      </c>
      <c r="C13" s="34" t="s">
        <v>43</v>
      </c>
      <c r="D13" t="str">
        <f>"0404010"</f>
        <v>0404010</v>
      </c>
      <c r="E13" s="57" t="s">
        <v>22</v>
      </c>
      <c r="F13" s="34" t="s">
        <v>25</v>
      </c>
      <c r="G13" s="34" t="s">
        <v>49</v>
      </c>
      <c r="H13" s="24" t="s">
        <v>53</v>
      </c>
      <c r="I13" s="37">
        <v>1972</v>
      </c>
      <c r="J13" s="29" t="s">
        <v>39</v>
      </c>
      <c r="K13" s="34" t="s">
        <v>91</v>
      </c>
      <c r="L13" s="24"/>
      <c r="M13" s="101">
        <v>26</v>
      </c>
      <c r="N13" s="101">
        <v>23</v>
      </c>
      <c r="O13" s="101">
        <v>18</v>
      </c>
      <c r="P13" s="101">
        <v>15</v>
      </c>
      <c r="Q13" s="101">
        <v>17</v>
      </c>
      <c r="R13" s="101">
        <v>17</v>
      </c>
    </row>
    <row r="14" spans="1:29" s="25" customFormat="1" ht="15.75">
      <c r="A14" s="33">
        <v>12</v>
      </c>
      <c r="B14" s="33" t="s">
        <v>101</v>
      </c>
      <c r="C14" s="34" t="s">
        <v>69</v>
      </c>
      <c r="D14" t="str">
        <f>"0412010"</f>
        <v>0412010</v>
      </c>
      <c r="E14" s="57" t="s">
        <v>22</v>
      </c>
      <c r="F14" s="34" t="s">
        <v>25</v>
      </c>
      <c r="G14" s="34" t="s">
        <v>49</v>
      </c>
      <c r="H14" s="24" t="s">
        <v>58</v>
      </c>
      <c r="I14" s="37">
        <v>1994</v>
      </c>
      <c r="J14" s="29" t="s">
        <v>39</v>
      </c>
      <c r="K14" s="34" t="s">
        <v>91</v>
      </c>
      <c r="L14" s="24"/>
      <c r="M14" s="101">
        <v>36</v>
      </c>
      <c r="N14" s="101">
        <v>32</v>
      </c>
      <c r="O14" s="101">
        <v>30</v>
      </c>
      <c r="P14" s="101">
        <v>27</v>
      </c>
      <c r="Q14" s="101">
        <v>26</v>
      </c>
      <c r="R14" s="101">
        <v>24</v>
      </c>
    </row>
    <row r="15" spans="1:29" s="25" customFormat="1" ht="15.75">
      <c r="A15" s="33">
        <v>13</v>
      </c>
      <c r="B15" s="33" t="s">
        <v>101</v>
      </c>
      <c r="C15" s="34" t="s">
        <v>65</v>
      </c>
      <c r="D15" t="str">
        <f>"0402010"</f>
        <v>0402010</v>
      </c>
      <c r="E15" s="57" t="s">
        <v>22</v>
      </c>
      <c r="F15" s="34" t="s">
        <v>25</v>
      </c>
      <c r="G15" s="34" t="s">
        <v>50</v>
      </c>
      <c r="H15" s="24" t="s">
        <v>57</v>
      </c>
      <c r="I15" s="37">
        <v>1985</v>
      </c>
      <c r="J15" s="50" t="s">
        <v>39</v>
      </c>
      <c r="K15" s="34" t="s">
        <v>91</v>
      </c>
      <c r="L15" s="24"/>
      <c r="M15" s="101">
        <v>22</v>
      </c>
      <c r="N15" s="101">
        <v>21</v>
      </c>
      <c r="O15" s="101">
        <v>12</v>
      </c>
      <c r="P15" s="101">
        <v>8</v>
      </c>
      <c r="Q15" s="101">
        <v>5</v>
      </c>
      <c r="R15" s="101">
        <v>6</v>
      </c>
    </row>
    <row r="16" spans="1:29" s="25" customFormat="1" ht="15.75">
      <c r="A16" s="33">
        <v>14</v>
      </c>
      <c r="B16" s="33" t="s">
        <v>101</v>
      </c>
      <c r="C16" s="34" t="s">
        <v>44</v>
      </c>
      <c r="D16" t="str">
        <f>"0403010"</f>
        <v>0403010</v>
      </c>
      <c r="E16" s="57" t="s">
        <v>22</v>
      </c>
      <c r="F16" s="34" t="s">
        <v>25</v>
      </c>
      <c r="G16" s="34" t="s">
        <v>50</v>
      </c>
      <c r="H16" s="24" t="s">
        <v>54</v>
      </c>
      <c r="I16" s="37">
        <v>1979</v>
      </c>
      <c r="J16" s="29" t="s">
        <v>39</v>
      </c>
      <c r="K16" s="34" t="s">
        <v>91</v>
      </c>
      <c r="L16" s="24"/>
      <c r="M16" s="101">
        <v>15</v>
      </c>
      <c r="N16" s="101">
        <v>21</v>
      </c>
      <c r="O16" s="101">
        <v>23</v>
      </c>
      <c r="P16" s="101">
        <v>25</v>
      </c>
      <c r="Q16" s="101">
        <v>29</v>
      </c>
      <c r="R16" s="101">
        <v>25</v>
      </c>
    </row>
    <row r="17" spans="1:18" s="25" customFormat="1" ht="15.75">
      <c r="A17" s="33">
        <v>15</v>
      </c>
      <c r="B17" s="33" t="s">
        <v>101</v>
      </c>
      <c r="C17" s="34" t="s">
        <v>45</v>
      </c>
      <c r="D17" t="str">
        <f>"0406010"</f>
        <v>0406010</v>
      </c>
      <c r="E17" s="57" t="s">
        <v>22</v>
      </c>
      <c r="F17" s="34" t="s">
        <v>25</v>
      </c>
      <c r="G17" s="34" t="s">
        <v>51</v>
      </c>
      <c r="H17" s="24" t="s">
        <v>59</v>
      </c>
      <c r="I17" s="37">
        <v>1973</v>
      </c>
      <c r="J17" s="29" t="s">
        <v>39</v>
      </c>
      <c r="K17" s="34" t="s">
        <v>91</v>
      </c>
      <c r="L17" s="24"/>
      <c r="M17" s="101">
        <v>120</v>
      </c>
      <c r="N17" s="101">
        <v>137</v>
      </c>
      <c r="O17" s="101">
        <v>134</v>
      </c>
      <c r="P17" s="101">
        <v>116</v>
      </c>
      <c r="Q17" s="101">
        <v>114</v>
      </c>
      <c r="R17" s="101">
        <v>118</v>
      </c>
    </row>
    <row r="18" spans="1:18" s="25" customFormat="1" ht="15.75">
      <c r="A18" s="33">
        <v>16</v>
      </c>
      <c r="B18" s="33" t="s">
        <v>101</v>
      </c>
      <c r="C18" s="34" t="s">
        <v>68</v>
      </c>
      <c r="D18" t="str">
        <f>"0407010"</f>
        <v>0407010</v>
      </c>
      <c r="E18" s="57" t="s">
        <v>22</v>
      </c>
      <c r="F18" s="34" t="s">
        <v>25</v>
      </c>
      <c r="G18" s="34" t="s">
        <v>51</v>
      </c>
      <c r="H18" s="24" t="s">
        <v>55</v>
      </c>
      <c r="I18" s="37">
        <v>1984</v>
      </c>
      <c r="J18" s="29" t="s">
        <v>39</v>
      </c>
      <c r="K18" s="34" t="s">
        <v>91</v>
      </c>
      <c r="L18" s="24"/>
      <c r="M18" s="101">
        <v>90</v>
      </c>
      <c r="N18" s="101">
        <v>81</v>
      </c>
      <c r="O18" s="101">
        <v>81</v>
      </c>
      <c r="P18" s="101">
        <v>75</v>
      </c>
      <c r="Q18" s="101">
        <v>71</v>
      </c>
      <c r="R18" s="101">
        <v>59</v>
      </c>
    </row>
    <row r="19" spans="1:18" s="25" customFormat="1" ht="15.75">
      <c r="A19" s="33">
        <v>17</v>
      </c>
      <c r="B19" s="33" t="s">
        <v>101</v>
      </c>
      <c r="C19" s="34" t="s">
        <v>70</v>
      </c>
      <c r="D19" t="str">
        <f>"0411010"</f>
        <v>0411010</v>
      </c>
      <c r="E19" s="57" t="s">
        <v>22</v>
      </c>
      <c r="F19" s="34" t="s">
        <v>25</v>
      </c>
      <c r="G19" s="34" t="s">
        <v>51</v>
      </c>
      <c r="H19" s="24" t="s">
        <v>56</v>
      </c>
      <c r="I19" s="37">
        <v>1985</v>
      </c>
      <c r="J19" s="29" t="s">
        <v>39</v>
      </c>
      <c r="K19" s="34" t="s">
        <v>91</v>
      </c>
      <c r="L19" s="24"/>
      <c r="M19" s="101">
        <v>73</v>
      </c>
      <c r="N19" s="101">
        <v>70</v>
      </c>
      <c r="O19" s="101">
        <v>64</v>
      </c>
      <c r="P19" s="101">
        <v>65</v>
      </c>
      <c r="Q19" s="101">
        <v>65</v>
      </c>
      <c r="R19" s="101">
        <v>73</v>
      </c>
    </row>
    <row r="20" spans="1:18" s="25" customFormat="1" ht="15.75">
      <c r="A20" s="33">
        <v>18</v>
      </c>
      <c r="B20" s="33" t="s">
        <v>101</v>
      </c>
      <c r="C20" s="34" t="s">
        <v>72</v>
      </c>
      <c r="D20" t="str">
        <f>"0401035"</f>
        <v>0401035</v>
      </c>
      <c r="E20" s="57" t="s">
        <v>84</v>
      </c>
      <c r="F20" s="34" t="s">
        <v>25</v>
      </c>
      <c r="G20" s="34" t="s">
        <v>48</v>
      </c>
      <c r="H20" s="35" t="s">
        <v>25</v>
      </c>
      <c r="I20" s="58" t="s">
        <v>92</v>
      </c>
      <c r="J20" s="58" t="s">
        <v>92</v>
      </c>
      <c r="K20" s="34" t="s">
        <v>91</v>
      </c>
      <c r="L20" s="24"/>
      <c r="M20" s="101">
        <v>227</v>
      </c>
      <c r="N20" s="101">
        <v>210</v>
      </c>
      <c r="O20" s="101">
        <v>208</v>
      </c>
      <c r="P20" s="101">
        <v>203</v>
      </c>
      <c r="Q20" s="101">
        <v>209</v>
      </c>
      <c r="R20" s="101">
        <v>209</v>
      </c>
    </row>
    <row r="21" spans="1:18" s="25" customFormat="1" ht="15.75">
      <c r="A21" s="33">
        <v>19</v>
      </c>
      <c r="B21" s="33" t="s">
        <v>101</v>
      </c>
      <c r="C21" s="34" t="s">
        <v>73</v>
      </c>
      <c r="D21" t="str">
        <f>"0441001"</f>
        <v>0441001</v>
      </c>
      <c r="E21" s="57" t="s">
        <v>85</v>
      </c>
      <c r="F21" s="34" t="s">
        <v>25</v>
      </c>
      <c r="G21" s="34" t="s">
        <v>48</v>
      </c>
      <c r="H21" s="35" t="s">
        <v>25</v>
      </c>
      <c r="I21" s="37">
        <v>1952</v>
      </c>
      <c r="J21" s="29" t="s">
        <v>39</v>
      </c>
      <c r="K21" s="34" t="s">
        <v>91</v>
      </c>
      <c r="L21" s="24"/>
      <c r="M21" s="101">
        <v>25</v>
      </c>
      <c r="N21" s="101">
        <v>28</v>
      </c>
      <c r="O21" s="101">
        <v>30</v>
      </c>
      <c r="P21" s="101">
        <v>34</v>
      </c>
      <c r="Q21" s="101">
        <v>34</v>
      </c>
      <c r="R21" s="101">
        <v>36</v>
      </c>
    </row>
    <row r="22" spans="1:18" s="25" customFormat="1" ht="15.75">
      <c r="A22" s="33">
        <v>20</v>
      </c>
      <c r="B22" s="33" t="s">
        <v>101</v>
      </c>
      <c r="C22" s="59" t="s">
        <v>82</v>
      </c>
      <c r="D22" t="str">
        <f>"0404000"</f>
        <v>0404000</v>
      </c>
      <c r="E22" s="16" t="s">
        <v>87</v>
      </c>
      <c r="F22" s="34" t="s">
        <v>25</v>
      </c>
      <c r="G22" s="51" t="s">
        <v>48</v>
      </c>
      <c r="H22" s="35" t="s">
        <v>25</v>
      </c>
      <c r="I22" s="37">
        <v>1977</v>
      </c>
      <c r="J22" s="60" t="s">
        <v>39</v>
      </c>
      <c r="K22" s="34" t="s">
        <v>91</v>
      </c>
      <c r="L22" s="16"/>
      <c r="M22" s="102"/>
      <c r="N22" s="102"/>
      <c r="O22" s="102"/>
      <c r="P22" s="101">
        <v>10</v>
      </c>
      <c r="Q22" s="101">
        <v>14</v>
      </c>
      <c r="R22" s="101">
        <v>21</v>
      </c>
    </row>
    <row r="23" spans="1:18" s="25" customFormat="1" ht="15.75">
      <c r="A23" s="33">
        <v>21</v>
      </c>
      <c r="B23" s="33" t="s">
        <v>101</v>
      </c>
      <c r="C23" s="34" t="s">
        <v>74</v>
      </c>
      <c r="D23" t="str">
        <f>"0440025"</f>
        <v>0440025</v>
      </c>
      <c r="E23" s="57" t="s">
        <v>86</v>
      </c>
      <c r="F23" s="34" t="s">
        <v>25</v>
      </c>
      <c r="G23" s="34" t="s">
        <v>48</v>
      </c>
      <c r="H23" s="35" t="s">
        <v>25</v>
      </c>
      <c r="I23" s="37">
        <v>1977</v>
      </c>
      <c r="J23" s="29" t="s">
        <v>39</v>
      </c>
      <c r="K23" s="34" t="s">
        <v>91</v>
      </c>
      <c r="L23" s="24"/>
      <c r="M23" s="101">
        <v>197</v>
      </c>
      <c r="N23" s="101">
        <v>162</v>
      </c>
      <c r="O23" s="101">
        <v>129</v>
      </c>
      <c r="P23" s="101">
        <v>375</v>
      </c>
      <c r="Q23" s="101">
        <v>397</v>
      </c>
      <c r="R23" s="101">
        <v>409</v>
      </c>
    </row>
    <row r="24" spans="1:18" s="25" customFormat="1" ht="15.75">
      <c r="A24" s="33">
        <v>22</v>
      </c>
      <c r="B24" s="33" t="s">
        <v>101</v>
      </c>
      <c r="C24" s="34" t="s">
        <v>75</v>
      </c>
      <c r="D24" t="str">
        <f>"0440030"</f>
        <v>0440030</v>
      </c>
      <c r="E24" s="57" t="s">
        <v>86</v>
      </c>
      <c r="F24" s="34" t="s">
        <v>25</v>
      </c>
      <c r="G24" s="34" t="s">
        <v>48</v>
      </c>
      <c r="H24" s="35" t="s">
        <v>25</v>
      </c>
      <c r="I24" s="37">
        <v>1977</v>
      </c>
      <c r="J24" s="29" t="s">
        <v>39</v>
      </c>
      <c r="K24" s="34" t="s">
        <v>91</v>
      </c>
      <c r="L24" s="24"/>
      <c r="M24" s="101">
        <v>436</v>
      </c>
      <c r="N24" s="101">
        <v>448</v>
      </c>
      <c r="O24" s="101">
        <v>452</v>
      </c>
      <c r="P24" s="101">
        <v>569</v>
      </c>
      <c r="Q24" s="101">
        <v>256</v>
      </c>
      <c r="R24" s="101">
        <v>297</v>
      </c>
    </row>
    <row r="25" spans="1:18" ht="15.75">
      <c r="A25" s="33">
        <v>23</v>
      </c>
      <c r="B25" s="33" t="s">
        <v>101</v>
      </c>
      <c r="C25" s="34" t="s">
        <v>83</v>
      </c>
      <c r="D25" t="str">
        <f>"0441000"</f>
        <v>0441000</v>
      </c>
      <c r="E25" s="57" t="s">
        <v>86</v>
      </c>
      <c r="F25" s="34" t="s">
        <v>25</v>
      </c>
      <c r="G25" s="34" t="s">
        <v>48</v>
      </c>
      <c r="H25" s="35" t="s">
        <v>25</v>
      </c>
      <c r="I25" s="37">
        <v>1977</v>
      </c>
      <c r="J25" s="60" t="s">
        <v>39</v>
      </c>
      <c r="K25" s="34" t="s">
        <v>91</v>
      </c>
      <c r="L25" s="16"/>
      <c r="M25" s="102"/>
      <c r="N25" s="102"/>
      <c r="O25" s="102"/>
      <c r="P25" s="102"/>
      <c r="Q25" s="101">
        <v>275</v>
      </c>
      <c r="R25" s="101">
        <v>277</v>
      </c>
    </row>
    <row r="26" spans="1:18" ht="15.75">
      <c r="A26" s="33">
        <v>24</v>
      </c>
      <c r="B26" s="33" t="s">
        <v>101</v>
      </c>
      <c r="C26" s="34" t="s">
        <v>104</v>
      </c>
      <c r="D26" t="str">
        <f>"0451010"</f>
        <v>0451010</v>
      </c>
      <c r="E26" s="57" t="s">
        <v>23</v>
      </c>
      <c r="F26" s="34" t="s">
        <v>25</v>
      </c>
      <c r="G26" s="34" t="s">
        <v>48</v>
      </c>
      <c r="H26" s="35" t="s">
        <v>25</v>
      </c>
      <c r="I26" s="37">
        <v>1933</v>
      </c>
      <c r="J26" s="29" t="s">
        <v>39</v>
      </c>
      <c r="K26" s="34" t="s">
        <v>91</v>
      </c>
      <c r="L26" s="24"/>
      <c r="M26" s="101">
        <v>236</v>
      </c>
      <c r="N26" s="101">
        <v>266</v>
      </c>
      <c r="O26" s="101">
        <v>267</v>
      </c>
      <c r="P26" s="101">
        <v>258</v>
      </c>
      <c r="Q26" s="101">
        <v>249</v>
      </c>
      <c r="R26" s="101">
        <v>212</v>
      </c>
    </row>
    <row r="27" spans="1:18" ht="15.75">
      <c r="A27" s="33">
        <v>25</v>
      </c>
      <c r="B27" s="33" t="s">
        <v>101</v>
      </c>
      <c r="C27" s="34" t="s">
        <v>79</v>
      </c>
      <c r="D27" t="str">
        <f>"0451015"</f>
        <v>0451015</v>
      </c>
      <c r="E27" s="57" t="s">
        <v>23</v>
      </c>
      <c r="F27" s="34" t="s">
        <v>25</v>
      </c>
      <c r="G27" s="34" t="s">
        <v>48</v>
      </c>
      <c r="H27" s="35" t="s">
        <v>25</v>
      </c>
      <c r="I27" s="37">
        <v>1933</v>
      </c>
      <c r="J27" s="29" t="s">
        <v>39</v>
      </c>
      <c r="K27" s="34" t="s">
        <v>91</v>
      </c>
      <c r="L27" s="16"/>
      <c r="M27" s="101">
        <v>53</v>
      </c>
      <c r="N27" s="101">
        <v>70</v>
      </c>
      <c r="O27" s="101">
        <v>80</v>
      </c>
      <c r="P27" s="101">
        <v>95</v>
      </c>
      <c r="Q27" s="101">
        <v>89</v>
      </c>
      <c r="R27" s="101">
        <v>56</v>
      </c>
    </row>
    <row r="28" spans="1:18" ht="15.75">
      <c r="A28" s="33">
        <v>26</v>
      </c>
      <c r="B28" s="33" t="s">
        <v>101</v>
      </c>
      <c r="C28" s="34" t="s">
        <v>76</v>
      </c>
      <c r="D28" t="str">
        <f>"0451020"</f>
        <v>0451020</v>
      </c>
      <c r="E28" s="57" t="s">
        <v>23</v>
      </c>
      <c r="F28" s="34" t="s">
        <v>25</v>
      </c>
      <c r="G28" s="34" t="s">
        <v>48</v>
      </c>
      <c r="H28" s="35" t="s">
        <v>25</v>
      </c>
      <c r="I28" s="37">
        <v>1993</v>
      </c>
      <c r="J28" s="29" t="s">
        <v>39</v>
      </c>
      <c r="K28" s="34" t="s">
        <v>91</v>
      </c>
      <c r="L28" s="16"/>
      <c r="M28" s="101">
        <v>216</v>
      </c>
      <c r="N28" s="101">
        <v>202</v>
      </c>
      <c r="O28" s="101">
        <v>224</v>
      </c>
      <c r="P28" s="101">
        <v>231</v>
      </c>
      <c r="Q28" s="101">
        <v>247</v>
      </c>
      <c r="R28" s="101">
        <v>234</v>
      </c>
    </row>
    <row r="29" spans="1:18" ht="15.75">
      <c r="A29" s="33">
        <v>27</v>
      </c>
      <c r="B29" s="33" t="s">
        <v>101</v>
      </c>
      <c r="C29" s="34" t="s">
        <v>77</v>
      </c>
      <c r="D29" t="str">
        <f>"0451030"</f>
        <v>0451030</v>
      </c>
      <c r="E29" s="57" t="s">
        <v>23</v>
      </c>
      <c r="F29" s="34" t="s">
        <v>25</v>
      </c>
      <c r="G29" s="34" t="s">
        <v>48</v>
      </c>
      <c r="H29" s="35" t="s">
        <v>25</v>
      </c>
      <c r="I29" s="37">
        <v>1969</v>
      </c>
      <c r="J29" s="29" t="s">
        <v>39</v>
      </c>
      <c r="K29" s="34" t="s">
        <v>91</v>
      </c>
      <c r="L29" s="16"/>
      <c r="M29" s="101">
        <v>244</v>
      </c>
      <c r="N29" s="101">
        <v>229</v>
      </c>
      <c r="O29" s="101">
        <v>222</v>
      </c>
      <c r="P29" s="101">
        <v>209</v>
      </c>
      <c r="Q29" s="101">
        <v>197</v>
      </c>
      <c r="R29" s="101">
        <v>195</v>
      </c>
    </row>
    <row r="30" spans="1:18" ht="15.75">
      <c r="A30" s="33">
        <v>28</v>
      </c>
      <c r="B30" s="33" t="s">
        <v>101</v>
      </c>
      <c r="C30" s="34" t="s">
        <v>105</v>
      </c>
      <c r="D30" t="str">
        <f>"0451031"</f>
        <v>0451031</v>
      </c>
      <c r="E30" s="57" t="s">
        <v>23</v>
      </c>
      <c r="F30" s="34" t="s">
        <v>25</v>
      </c>
      <c r="G30" s="34" t="s">
        <v>48</v>
      </c>
      <c r="H30" s="35" t="s">
        <v>25</v>
      </c>
      <c r="I30" s="37">
        <v>1978</v>
      </c>
      <c r="J30" s="29" t="s">
        <v>39</v>
      </c>
      <c r="K30" s="34" t="s">
        <v>91</v>
      </c>
      <c r="L30" s="16"/>
      <c r="M30" s="101">
        <v>196</v>
      </c>
      <c r="N30" s="101">
        <v>179</v>
      </c>
      <c r="O30" s="101">
        <v>185</v>
      </c>
      <c r="P30" s="101">
        <v>185</v>
      </c>
      <c r="Q30" s="101">
        <v>215</v>
      </c>
      <c r="R30" s="101">
        <v>219</v>
      </c>
    </row>
    <row r="31" spans="1:18" ht="15.75">
      <c r="A31" s="33">
        <v>29</v>
      </c>
      <c r="B31" s="33" t="s">
        <v>101</v>
      </c>
      <c r="C31" s="34" t="s">
        <v>80</v>
      </c>
      <c r="D31" t="str">
        <f>"0458010"</f>
        <v>0458010</v>
      </c>
      <c r="E31" s="57" t="s">
        <v>23</v>
      </c>
      <c r="F31" s="34" t="s">
        <v>25</v>
      </c>
      <c r="G31" s="34" t="s">
        <v>48</v>
      </c>
      <c r="H31" s="16" t="s">
        <v>52</v>
      </c>
      <c r="I31" s="37">
        <v>1984</v>
      </c>
      <c r="J31" s="37" t="s">
        <v>39</v>
      </c>
      <c r="K31" s="34" t="s">
        <v>91</v>
      </c>
      <c r="L31" s="16"/>
      <c r="M31" s="101">
        <v>53</v>
      </c>
      <c r="N31" s="101">
        <v>54</v>
      </c>
      <c r="O31" s="101">
        <v>45</v>
      </c>
      <c r="P31" s="101">
        <v>42</v>
      </c>
      <c r="Q31" s="101">
        <v>48</v>
      </c>
      <c r="R31" s="101">
        <v>64</v>
      </c>
    </row>
    <row r="32" spans="1:18" ht="15.75">
      <c r="A32" s="33">
        <v>30</v>
      </c>
      <c r="B32" s="33" t="s">
        <v>101</v>
      </c>
      <c r="C32" s="34" t="s">
        <v>81</v>
      </c>
      <c r="D32" t="str">
        <f>"0454010"</f>
        <v>0454010</v>
      </c>
      <c r="E32" s="57" t="s">
        <v>23</v>
      </c>
      <c r="F32" s="34" t="s">
        <v>25</v>
      </c>
      <c r="G32" s="34" t="s">
        <v>49</v>
      </c>
      <c r="H32" s="16" t="s">
        <v>53</v>
      </c>
      <c r="I32" s="37">
        <v>1997</v>
      </c>
      <c r="J32" s="37" t="s">
        <v>39</v>
      </c>
      <c r="K32" s="34" t="s">
        <v>91</v>
      </c>
      <c r="L32" s="16"/>
      <c r="M32" s="101">
        <v>12</v>
      </c>
      <c r="N32" s="101">
        <v>10</v>
      </c>
      <c r="O32" s="101">
        <v>17</v>
      </c>
      <c r="P32" s="101">
        <v>16</v>
      </c>
      <c r="Q32" s="101">
        <v>14</v>
      </c>
      <c r="R32" s="101">
        <v>11</v>
      </c>
    </row>
    <row r="33" spans="1:18" ht="15.75">
      <c r="A33" s="33">
        <v>31</v>
      </c>
      <c r="B33" s="33" t="s">
        <v>101</v>
      </c>
      <c r="C33" s="34" t="s">
        <v>46</v>
      </c>
      <c r="D33" t="str">
        <f>"0462010"</f>
        <v>0462010</v>
      </c>
      <c r="E33" s="57" t="s">
        <v>23</v>
      </c>
      <c r="F33" s="34" t="s">
        <v>25</v>
      </c>
      <c r="G33" s="34" t="s">
        <v>49</v>
      </c>
      <c r="H33" s="16" t="s">
        <v>58</v>
      </c>
      <c r="I33" s="37">
        <v>1994</v>
      </c>
      <c r="J33" s="29" t="s">
        <v>39</v>
      </c>
      <c r="K33" s="34" t="s">
        <v>91</v>
      </c>
      <c r="L33" s="16"/>
      <c r="M33" s="101">
        <v>25</v>
      </c>
      <c r="N33" s="101">
        <v>28</v>
      </c>
      <c r="O33" s="101">
        <v>29</v>
      </c>
      <c r="P33" s="101">
        <v>22</v>
      </c>
      <c r="Q33" s="101">
        <v>23</v>
      </c>
      <c r="R33" s="101">
        <v>17</v>
      </c>
    </row>
    <row r="34" spans="1:18" ht="15.75">
      <c r="A34" s="33">
        <v>32</v>
      </c>
      <c r="B34" s="33" t="s">
        <v>101</v>
      </c>
      <c r="C34" s="34" t="s">
        <v>78</v>
      </c>
      <c r="D34" t="str">
        <f>"0453010"</f>
        <v>0453010</v>
      </c>
      <c r="E34" s="57" t="s">
        <v>23</v>
      </c>
      <c r="F34" s="34" t="s">
        <v>25</v>
      </c>
      <c r="G34" s="34" t="s">
        <v>50</v>
      </c>
      <c r="H34" s="35" t="s">
        <v>25</v>
      </c>
      <c r="I34" s="37">
        <v>1979</v>
      </c>
      <c r="J34" s="29" t="s">
        <v>39</v>
      </c>
      <c r="K34" s="34" t="s">
        <v>91</v>
      </c>
      <c r="L34" s="16"/>
      <c r="M34" s="101">
        <v>23</v>
      </c>
      <c r="N34" s="101">
        <v>20</v>
      </c>
      <c r="O34" s="101">
        <v>18</v>
      </c>
      <c r="P34" s="101">
        <v>10</v>
      </c>
      <c r="Q34" s="101">
        <v>19</v>
      </c>
      <c r="R34" s="101">
        <v>15</v>
      </c>
    </row>
    <row r="35" spans="1:18" ht="15.75">
      <c r="A35" s="33">
        <v>33</v>
      </c>
      <c r="B35" s="33" t="s">
        <v>101</v>
      </c>
      <c r="C35" s="34" t="s">
        <v>47</v>
      </c>
      <c r="D35" t="str">
        <f>"0456010"</f>
        <v>0456010</v>
      </c>
      <c r="E35" s="57" t="s">
        <v>23</v>
      </c>
      <c r="F35" s="34" t="s">
        <v>25</v>
      </c>
      <c r="G35" s="34" t="s">
        <v>51</v>
      </c>
      <c r="H35" s="16" t="s">
        <v>59</v>
      </c>
      <c r="I35" s="37">
        <v>1987</v>
      </c>
      <c r="J35" s="37" t="s">
        <v>39</v>
      </c>
      <c r="K35" s="34" t="s">
        <v>91</v>
      </c>
      <c r="L35" s="16"/>
      <c r="M35" s="101">
        <v>78</v>
      </c>
      <c r="N35" s="101">
        <v>68</v>
      </c>
      <c r="O35" s="101">
        <v>70</v>
      </c>
      <c r="P35" s="101">
        <v>84</v>
      </c>
      <c r="Q35" s="101">
        <v>96</v>
      </c>
      <c r="R35" s="101">
        <v>105</v>
      </c>
    </row>
    <row r="36" spans="1:18" ht="15.75">
      <c r="A36" s="33">
        <v>34</v>
      </c>
      <c r="B36" s="33" t="s">
        <v>101</v>
      </c>
      <c r="C36" s="34" t="s">
        <v>88</v>
      </c>
      <c r="D36" t="str">
        <f>"0457010"</f>
        <v>0457010</v>
      </c>
      <c r="E36" s="57" t="s">
        <v>23</v>
      </c>
      <c r="F36" s="34" t="s">
        <v>25</v>
      </c>
      <c r="G36" s="34" t="s">
        <v>51</v>
      </c>
      <c r="H36" s="16" t="s">
        <v>55</v>
      </c>
      <c r="I36" s="37">
        <v>1984</v>
      </c>
      <c r="J36" s="37" t="s">
        <v>39</v>
      </c>
      <c r="K36" s="34" t="s">
        <v>91</v>
      </c>
      <c r="L36" s="16"/>
      <c r="M36" s="101">
        <v>58</v>
      </c>
      <c r="N36" s="101">
        <v>59</v>
      </c>
      <c r="O36" s="101">
        <v>58</v>
      </c>
      <c r="P36" s="101">
        <v>52</v>
      </c>
      <c r="Q36" s="101">
        <v>53</v>
      </c>
      <c r="R36" s="101">
        <v>45</v>
      </c>
    </row>
    <row r="37" spans="1:18" ht="15.75">
      <c r="A37" s="33">
        <v>35</v>
      </c>
      <c r="B37" s="52" t="s">
        <v>219</v>
      </c>
      <c r="C37" s="52" t="s">
        <v>106</v>
      </c>
      <c r="D37" t="str">
        <f>"1801010"</f>
        <v>1801010</v>
      </c>
      <c r="E37" s="57" t="s">
        <v>22</v>
      </c>
      <c r="F37" s="16" t="s">
        <v>26</v>
      </c>
      <c r="G37" s="61" t="s">
        <v>129</v>
      </c>
      <c r="H37" s="16" t="s">
        <v>129</v>
      </c>
      <c r="I37" s="29">
        <v>1970</v>
      </c>
      <c r="J37" s="29" t="s">
        <v>91</v>
      </c>
      <c r="K37" s="52" t="s">
        <v>91</v>
      </c>
      <c r="L37" s="16"/>
      <c r="M37" s="103">
        <v>226</v>
      </c>
      <c r="N37" s="103">
        <v>217</v>
      </c>
      <c r="O37" s="103">
        <v>211</v>
      </c>
      <c r="P37" s="107">
        <v>201</v>
      </c>
      <c r="Q37" s="107">
        <v>200</v>
      </c>
      <c r="R37" s="107">
        <v>178</v>
      </c>
    </row>
    <row r="38" spans="1:18" ht="15.75">
      <c r="A38" s="33">
        <v>36</v>
      </c>
      <c r="B38" s="52" t="s">
        <v>219</v>
      </c>
      <c r="C38" s="52" t="s">
        <v>108</v>
      </c>
      <c r="D38" t="str">
        <f>"1801011"</f>
        <v>1801011</v>
      </c>
      <c r="E38" s="57" t="s">
        <v>22</v>
      </c>
      <c r="F38" s="16" t="s">
        <v>26</v>
      </c>
      <c r="G38" s="61" t="s">
        <v>129</v>
      </c>
      <c r="H38" s="16" t="s">
        <v>129</v>
      </c>
      <c r="I38" s="29">
        <v>2001</v>
      </c>
      <c r="J38" s="29" t="s">
        <v>139</v>
      </c>
      <c r="K38" s="52" t="s">
        <v>91</v>
      </c>
      <c r="L38" s="16"/>
      <c r="M38" s="103">
        <v>148</v>
      </c>
      <c r="N38" s="103">
        <v>177</v>
      </c>
      <c r="O38" s="103">
        <v>177</v>
      </c>
      <c r="P38" s="107">
        <v>187</v>
      </c>
      <c r="Q38" s="107">
        <v>164</v>
      </c>
      <c r="R38" s="107">
        <v>148</v>
      </c>
    </row>
    <row r="39" spans="1:18" ht="30">
      <c r="A39" s="33">
        <v>37</v>
      </c>
      <c r="B39" s="52" t="s">
        <v>219</v>
      </c>
      <c r="C39" s="52" t="s">
        <v>109</v>
      </c>
      <c r="D39" t="str">
        <f>"1801012"</f>
        <v>1801012</v>
      </c>
      <c r="E39" s="57" t="s">
        <v>22</v>
      </c>
      <c r="F39" s="16" t="s">
        <v>26</v>
      </c>
      <c r="G39" s="61" t="s">
        <v>129</v>
      </c>
      <c r="H39" s="16" t="s">
        <v>129</v>
      </c>
      <c r="I39" s="97" t="s">
        <v>249</v>
      </c>
      <c r="J39" s="29" t="s">
        <v>139</v>
      </c>
      <c r="K39" s="52" t="s">
        <v>91</v>
      </c>
      <c r="L39" s="16"/>
      <c r="M39" s="103">
        <v>154</v>
      </c>
      <c r="N39" s="103">
        <v>171</v>
      </c>
      <c r="O39" s="103">
        <v>201</v>
      </c>
      <c r="P39" s="107">
        <v>205</v>
      </c>
      <c r="Q39" s="107">
        <v>191</v>
      </c>
      <c r="R39" s="107">
        <v>141</v>
      </c>
    </row>
    <row r="40" spans="1:18" ht="15.75">
      <c r="A40" s="33">
        <v>38</v>
      </c>
      <c r="B40" s="52" t="s">
        <v>219</v>
      </c>
      <c r="C40" s="52" t="s">
        <v>111</v>
      </c>
      <c r="D40" t="str">
        <f>"1801015"</f>
        <v>1801015</v>
      </c>
      <c r="E40" s="57" t="s">
        <v>22</v>
      </c>
      <c r="F40" s="16" t="s">
        <v>26</v>
      </c>
      <c r="G40" s="61" t="s">
        <v>129</v>
      </c>
      <c r="H40" s="16" t="s">
        <v>129</v>
      </c>
      <c r="I40" s="29">
        <v>1973</v>
      </c>
      <c r="J40" s="29" t="s">
        <v>91</v>
      </c>
      <c r="K40" s="52" t="s">
        <v>91</v>
      </c>
      <c r="L40" s="16"/>
      <c r="M40" s="103">
        <v>19</v>
      </c>
      <c r="N40" s="103">
        <v>23</v>
      </c>
      <c r="O40" s="103">
        <v>25</v>
      </c>
      <c r="P40" s="107">
        <v>24</v>
      </c>
      <c r="Q40" s="107">
        <v>17</v>
      </c>
      <c r="R40" s="107">
        <v>24</v>
      </c>
    </row>
    <row r="41" spans="1:18" ht="15.75">
      <c r="A41" s="33">
        <v>39</v>
      </c>
      <c r="B41" s="52" t="s">
        <v>219</v>
      </c>
      <c r="C41" s="52" t="s">
        <v>118</v>
      </c>
      <c r="D41" t="str">
        <f>"1802050"</f>
        <v>1802050</v>
      </c>
      <c r="E41" s="57" t="s">
        <v>22</v>
      </c>
      <c r="F41" s="16" t="s">
        <v>26</v>
      </c>
      <c r="G41" s="61" t="s">
        <v>129</v>
      </c>
      <c r="H41" s="16" t="s">
        <v>137</v>
      </c>
      <c r="I41" s="29">
        <v>1992</v>
      </c>
      <c r="J41" s="29" t="s">
        <v>139</v>
      </c>
      <c r="K41" s="52" t="s">
        <v>91</v>
      </c>
      <c r="L41" s="16"/>
      <c r="M41" s="103">
        <v>55</v>
      </c>
      <c r="N41" s="103">
        <v>64</v>
      </c>
      <c r="O41" s="103">
        <v>68</v>
      </c>
      <c r="P41" s="107">
        <v>68</v>
      </c>
      <c r="Q41" s="107">
        <v>63</v>
      </c>
      <c r="R41" s="107">
        <v>54</v>
      </c>
    </row>
    <row r="42" spans="1:18" ht="15.75">
      <c r="A42" s="33">
        <v>40</v>
      </c>
      <c r="B42" s="52" t="s">
        <v>219</v>
      </c>
      <c r="C42" s="52" t="s">
        <v>113</v>
      </c>
      <c r="D42" t="str">
        <f>"1804010"</f>
        <v>1804010</v>
      </c>
      <c r="E42" s="57" t="s">
        <v>22</v>
      </c>
      <c r="F42" s="16" t="s">
        <v>26</v>
      </c>
      <c r="G42" s="61" t="s">
        <v>129</v>
      </c>
      <c r="H42" s="16" t="s">
        <v>133</v>
      </c>
      <c r="I42" s="29">
        <v>1980</v>
      </c>
      <c r="J42" s="29" t="s">
        <v>91</v>
      </c>
      <c r="K42" s="52" t="s">
        <v>91</v>
      </c>
      <c r="L42" s="16"/>
      <c r="M42" s="103">
        <v>32</v>
      </c>
      <c r="N42" s="103">
        <v>23</v>
      </c>
      <c r="O42" s="103">
        <v>22</v>
      </c>
      <c r="P42" s="107">
        <v>19</v>
      </c>
      <c r="Q42" s="107">
        <v>14</v>
      </c>
      <c r="R42" s="107">
        <v>8</v>
      </c>
    </row>
    <row r="43" spans="1:18" ht="30">
      <c r="A43" s="33">
        <v>41</v>
      </c>
      <c r="B43" s="52" t="s">
        <v>219</v>
      </c>
      <c r="C43" s="52" t="s">
        <v>117</v>
      </c>
      <c r="D43" t="str">
        <f>"1804090"</f>
        <v>1804090</v>
      </c>
      <c r="E43" s="57" t="s">
        <v>22</v>
      </c>
      <c r="F43" s="16" t="s">
        <v>26</v>
      </c>
      <c r="G43" s="61" t="s">
        <v>129</v>
      </c>
      <c r="H43" s="16" t="s">
        <v>136</v>
      </c>
      <c r="I43" s="97" t="s">
        <v>251</v>
      </c>
      <c r="J43" s="32" t="s">
        <v>91</v>
      </c>
      <c r="K43" s="52" t="s">
        <v>91</v>
      </c>
      <c r="L43" s="16"/>
      <c r="M43" s="103">
        <v>37</v>
      </c>
      <c r="N43" s="103">
        <v>36</v>
      </c>
      <c r="O43" s="103">
        <v>39</v>
      </c>
      <c r="P43" s="107">
        <v>32</v>
      </c>
      <c r="Q43" s="107">
        <v>30</v>
      </c>
      <c r="R43" s="107">
        <v>30</v>
      </c>
    </row>
    <row r="44" spans="1:18" ht="30">
      <c r="A44" s="33">
        <v>42</v>
      </c>
      <c r="B44" s="52" t="s">
        <v>219</v>
      </c>
      <c r="C44" s="52" t="s">
        <v>114</v>
      </c>
      <c r="D44" t="str">
        <f>"1807010"</f>
        <v>1807010</v>
      </c>
      <c r="E44" s="57" t="s">
        <v>22</v>
      </c>
      <c r="F44" s="16" t="s">
        <v>26</v>
      </c>
      <c r="G44" s="61" t="s">
        <v>129</v>
      </c>
      <c r="H44" s="16" t="s">
        <v>138</v>
      </c>
      <c r="I44" s="97" t="s">
        <v>250</v>
      </c>
      <c r="J44" s="29" t="s">
        <v>139</v>
      </c>
      <c r="K44" s="52" t="s">
        <v>91</v>
      </c>
      <c r="L44" s="16"/>
      <c r="M44" s="103">
        <v>132</v>
      </c>
      <c r="N44" s="103">
        <v>151</v>
      </c>
      <c r="O44" s="103">
        <v>155</v>
      </c>
      <c r="P44" s="107">
        <v>160</v>
      </c>
      <c r="Q44" s="107">
        <v>147</v>
      </c>
      <c r="R44" s="107">
        <v>132</v>
      </c>
    </row>
    <row r="45" spans="1:18" ht="15.75">
      <c r="A45" s="33">
        <v>43</v>
      </c>
      <c r="B45" s="52" t="s">
        <v>219</v>
      </c>
      <c r="C45" s="52" t="s">
        <v>119</v>
      </c>
      <c r="D45" t="str">
        <f>"1809000"</f>
        <v>1809000</v>
      </c>
      <c r="E45" s="57" t="s">
        <v>22</v>
      </c>
      <c r="F45" s="16" t="s">
        <v>26</v>
      </c>
      <c r="G45" s="61" t="s">
        <v>129</v>
      </c>
      <c r="H45" s="16" t="s">
        <v>141</v>
      </c>
      <c r="I45" s="29">
        <v>1985</v>
      </c>
      <c r="J45" s="29" t="s">
        <v>91</v>
      </c>
      <c r="K45" s="52" t="s">
        <v>91</v>
      </c>
      <c r="L45" s="16"/>
      <c r="M45" s="103"/>
      <c r="N45" s="103"/>
      <c r="O45" s="103">
        <v>11</v>
      </c>
      <c r="P45" s="107">
        <v>47</v>
      </c>
      <c r="Q45" s="107">
        <v>69</v>
      </c>
      <c r="R45" s="107">
        <v>91</v>
      </c>
    </row>
    <row r="46" spans="1:18" ht="15.75">
      <c r="A46" s="33">
        <v>44</v>
      </c>
      <c r="B46" s="52" t="s">
        <v>219</v>
      </c>
      <c r="C46" s="52" t="s">
        <v>110</v>
      </c>
      <c r="D46" t="str">
        <f>"1811201"</f>
        <v>1811201</v>
      </c>
      <c r="E46" s="57" t="s">
        <v>22</v>
      </c>
      <c r="F46" s="16" t="s">
        <v>26</v>
      </c>
      <c r="G46" s="61" t="s">
        <v>129</v>
      </c>
      <c r="H46" s="16" t="s">
        <v>129</v>
      </c>
      <c r="I46" s="29">
        <v>1991</v>
      </c>
      <c r="J46" s="29" t="s">
        <v>139</v>
      </c>
      <c r="K46" s="52" t="s">
        <v>91</v>
      </c>
      <c r="L46" s="16"/>
      <c r="M46" s="103">
        <v>16</v>
      </c>
      <c r="N46" s="103">
        <v>14</v>
      </c>
      <c r="O46" s="103">
        <v>18</v>
      </c>
      <c r="P46" s="107">
        <v>18</v>
      </c>
      <c r="Q46" s="107">
        <v>22</v>
      </c>
      <c r="R46" s="107">
        <v>22</v>
      </c>
    </row>
    <row r="47" spans="1:18" ht="15.75">
      <c r="A47" s="33">
        <v>45</v>
      </c>
      <c r="B47" s="52" t="s">
        <v>219</v>
      </c>
      <c r="C47" s="52" t="s">
        <v>116</v>
      </c>
      <c r="D47" t="str">
        <f>"1802010"</f>
        <v>1802010</v>
      </c>
      <c r="E47" s="57" t="s">
        <v>22</v>
      </c>
      <c r="F47" s="16" t="s">
        <v>26</v>
      </c>
      <c r="G47" s="61" t="s">
        <v>131</v>
      </c>
      <c r="H47" s="16" t="s">
        <v>135</v>
      </c>
      <c r="I47" s="29">
        <v>1975</v>
      </c>
      <c r="J47" s="29" t="s">
        <v>91</v>
      </c>
      <c r="K47" s="52" t="s">
        <v>91</v>
      </c>
      <c r="L47" s="16"/>
      <c r="M47" s="103">
        <v>148</v>
      </c>
      <c r="N47" s="103">
        <v>155</v>
      </c>
      <c r="O47" s="103">
        <v>148</v>
      </c>
      <c r="P47" s="107">
        <v>151</v>
      </c>
      <c r="Q47" s="107">
        <v>146</v>
      </c>
      <c r="R47" s="107">
        <v>132</v>
      </c>
    </row>
    <row r="48" spans="1:18" ht="15.75">
      <c r="A48" s="33">
        <v>46</v>
      </c>
      <c r="B48" s="52" t="s">
        <v>219</v>
      </c>
      <c r="C48" s="31" t="s">
        <v>115</v>
      </c>
      <c r="D48" t="str">
        <f>"1805010"</f>
        <v>1805010</v>
      </c>
      <c r="E48" s="57" t="s">
        <v>22</v>
      </c>
      <c r="F48" s="16" t="s">
        <v>26</v>
      </c>
      <c r="G48" s="61" t="s">
        <v>131</v>
      </c>
      <c r="H48" s="16" t="s">
        <v>134</v>
      </c>
      <c r="I48" s="83">
        <v>1988</v>
      </c>
      <c r="J48" s="83" t="s">
        <v>139</v>
      </c>
      <c r="K48" s="31" t="s">
        <v>91</v>
      </c>
      <c r="L48" s="16"/>
      <c r="M48" s="112">
        <v>22</v>
      </c>
      <c r="N48" s="112">
        <v>18</v>
      </c>
      <c r="O48" s="112">
        <v>11</v>
      </c>
      <c r="P48" s="107">
        <v>15</v>
      </c>
      <c r="Q48" s="107" t="s">
        <v>140</v>
      </c>
      <c r="R48" s="107" t="s">
        <v>140</v>
      </c>
    </row>
    <row r="49" spans="1:18" ht="15.75">
      <c r="A49" s="33">
        <v>47</v>
      </c>
      <c r="B49" s="52" t="s">
        <v>219</v>
      </c>
      <c r="C49" s="52" t="s">
        <v>112</v>
      </c>
      <c r="D49" t="str">
        <f>"1806010"</f>
        <v>1806010</v>
      </c>
      <c r="E49" s="57" t="s">
        <v>22</v>
      </c>
      <c r="F49" s="16" t="s">
        <v>26</v>
      </c>
      <c r="G49" s="61" t="s">
        <v>131</v>
      </c>
      <c r="H49" s="16" t="s">
        <v>132</v>
      </c>
      <c r="I49" s="29">
        <v>2000</v>
      </c>
      <c r="J49" s="29" t="s">
        <v>139</v>
      </c>
      <c r="K49" s="52" t="s">
        <v>91</v>
      </c>
      <c r="L49" s="16"/>
      <c r="M49" s="103">
        <v>53</v>
      </c>
      <c r="N49" s="103">
        <v>47</v>
      </c>
      <c r="O49" s="103">
        <v>57</v>
      </c>
      <c r="P49" s="107">
        <v>51</v>
      </c>
      <c r="Q49" s="107">
        <v>50</v>
      </c>
      <c r="R49" s="107">
        <v>40</v>
      </c>
    </row>
    <row r="50" spans="1:18" ht="30">
      <c r="A50" s="33">
        <v>48</v>
      </c>
      <c r="B50" s="52" t="s">
        <v>219</v>
      </c>
      <c r="C50" s="52" t="s">
        <v>107</v>
      </c>
      <c r="D50" t="str">
        <f>"1803010"</f>
        <v>1803010</v>
      </c>
      <c r="E50" s="57" t="s">
        <v>22</v>
      </c>
      <c r="F50" s="16" t="s">
        <v>26</v>
      </c>
      <c r="G50" s="61" t="s">
        <v>130</v>
      </c>
      <c r="H50" s="16" t="s">
        <v>130</v>
      </c>
      <c r="I50" s="97" t="s">
        <v>255</v>
      </c>
      <c r="J50" s="29" t="s">
        <v>91</v>
      </c>
      <c r="K50" s="52" t="s">
        <v>91</v>
      </c>
      <c r="L50" s="16"/>
      <c r="M50" s="103">
        <v>129</v>
      </c>
      <c r="N50" s="103">
        <v>142</v>
      </c>
      <c r="O50" s="103">
        <v>136</v>
      </c>
      <c r="P50" s="107">
        <v>135</v>
      </c>
      <c r="Q50" s="107">
        <v>134</v>
      </c>
      <c r="R50" s="107">
        <v>117</v>
      </c>
    </row>
    <row r="51" spans="1:18" ht="15.75">
      <c r="A51" s="33">
        <v>49</v>
      </c>
      <c r="B51" s="52" t="s">
        <v>219</v>
      </c>
      <c r="C51" s="52" t="s">
        <v>120</v>
      </c>
      <c r="D51" t="str">
        <f>"1841001"</f>
        <v>1841001</v>
      </c>
      <c r="E51" s="57" t="s">
        <v>85</v>
      </c>
      <c r="F51" s="16" t="s">
        <v>26</v>
      </c>
      <c r="G51" s="61" t="s">
        <v>131</v>
      </c>
      <c r="H51" s="16" t="s">
        <v>135</v>
      </c>
      <c r="I51" s="29">
        <v>1954</v>
      </c>
      <c r="J51" s="29" t="s">
        <v>91</v>
      </c>
      <c r="K51" s="52" t="s">
        <v>91</v>
      </c>
      <c r="L51" s="16"/>
      <c r="M51" s="103">
        <v>19</v>
      </c>
      <c r="N51" s="103">
        <v>17</v>
      </c>
      <c r="O51" s="103">
        <v>16</v>
      </c>
      <c r="P51" s="107">
        <v>17</v>
      </c>
      <c r="Q51" s="107">
        <v>16</v>
      </c>
      <c r="R51" s="107">
        <v>15</v>
      </c>
    </row>
    <row r="52" spans="1:18" ht="15.75">
      <c r="A52" s="33">
        <v>50</v>
      </c>
      <c r="B52" s="52" t="s">
        <v>219</v>
      </c>
      <c r="C52" s="52" t="s">
        <v>252</v>
      </c>
      <c r="D52" t="str">
        <f>"1848000"</f>
        <v>1848000</v>
      </c>
      <c r="E52" s="57" t="s">
        <v>86</v>
      </c>
      <c r="F52" s="16" t="s">
        <v>26</v>
      </c>
      <c r="G52" s="61" t="s">
        <v>129</v>
      </c>
      <c r="H52" s="16" t="s">
        <v>129</v>
      </c>
      <c r="I52" s="29">
        <v>1985</v>
      </c>
      <c r="J52" s="29" t="s">
        <v>139</v>
      </c>
      <c r="K52" s="52" t="s">
        <v>91</v>
      </c>
      <c r="L52" s="16"/>
      <c r="M52" s="103">
        <v>255</v>
      </c>
      <c r="N52" s="103">
        <v>283</v>
      </c>
      <c r="O52" s="103">
        <v>201</v>
      </c>
      <c r="P52" s="107"/>
      <c r="Q52" s="107"/>
      <c r="R52" s="107"/>
    </row>
    <row r="53" spans="1:18" ht="15.75">
      <c r="A53" s="33">
        <v>51</v>
      </c>
      <c r="B53" s="52" t="s">
        <v>219</v>
      </c>
      <c r="C53" s="52" t="s">
        <v>121</v>
      </c>
      <c r="D53" t="str">
        <f>"1840035"</f>
        <v>1840035</v>
      </c>
      <c r="E53" s="57" t="s">
        <v>86</v>
      </c>
      <c r="F53" s="16" t="s">
        <v>26</v>
      </c>
      <c r="G53" s="61" t="s">
        <v>131</v>
      </c>
      <c r="H53" s="16" t="s">
        <v>135</v>
      </c>
      <c r="I53" s="29">
        <v>1998</v>
      </c>
      <c r="J53" s="29" t="s">
        <v>139</v>
      </c>
      <c r="K53" s="52" t="s">
        <v>91</v>
      </c>
      <c r="L53" s="16"/>
      <c r="M53" s="103">
        <v>55</v>
      </c>
      <c r="N53" s="103">
        <v>77</v>
      </c>
      <c r="O53" s="103">
        <v>93</v>
      </c>
      <c r="P53" s="107">
        <v>103</v>
      </c>
      <c r="Q53" s="107">
        <v>96</v>
      </c>
      <c r="R53" s="107">
        <v>93</v>
      </c>
    </row>
    <row r="54" spans="1:18" ht="15.75">
      <c r="A54" s="33">
        <v>52</v>
      </c>
      <c r="B54" s="52" t="s">
        <v>219</v>
      </c>
      <c r="C54" s="52" t="s">
        <v>122</v>
      </c>
      <c r="D54" t="str">
        <f>"1840040"</f>
        <v>1840040</v>
      </c>
      <c r="E54" s="57" t="s">
        <v>86</v>
      </c>
      <c r="F54" s="16" t="s">
        <v>26</v>
      </c>
      <c r="G54" s="61" t="s">
        <v>130</v>
      </c>
      <c r="H54" s="16" t="s">
        <v>130</v>
      </c>
      <c r="I54" s="29">
        <v>1970</v>
      </c>
      <c r="J54" s="29" t="s">
        <v>139</v>
      </c>
      <c r="K54" s="52" t="s">
        <v>139</v>
      </c>
      <c r="L54" s="16"/>
      <c r="M54" s="103">
        <v>22</v>
      </c>
      <c r="N54" s="103">
        <v>22</v>
      </c>
      <c r="O54" s="103">
        <v>20</v>
      </c>
      <c r="P54" s="107">
        <v>34</v>
      </c>
      <c r="Q54" s="107">
        <v>37</v>
      </c>
      <c r="R54" s="107">
        <v>36</v>
      </c>
    </row>
    <row r="55" spans="1:18" ht="15.75">
      <c r="A55" s="33">
        <v>53</v>
      </c>
      <c r="B55" s="52" t="s">
        <v>219</v>
      </c>
      <c r="C55" s="52" t="s">
        <v>125</v>
      </c>
      <c r="D55" s="116" t="str">
        <f>"1851009"</f>
        <v>1851009</v>
      </c>
      <c r="E55" s="57" t="s">
        <v>23</v>
      </c>
      <c r="F55" s="16" t="s">
        <v>26</v>
      </c>
      <c r="G55" s="61" t="s">
        <v>129</v>
      </c>
      <c r="H55" s="16" t="s">
        <v>129</v>
      </c>
      <c r="I55" s="29">
        <v>2009</v>
      </c>
      <c r="J55" s="29" t="s">
        <v>139</v>
      </c>
      <c r="K55" s="52" t="s">
        <v>91</v>
      </c>
      <c r="L55" s="16"/>
      <c r="M55" s="103">
        <v>236</v>
      </c>
      <c r="N55" s="103">
        <v>230</v>
      </c>
      <c r="O55" s="103">
        <v>293</v>
      </c>
      <c r="P55" s="107">
        <v>308</v>
      </c>
      <c r="Q55" s="107">
        <v>308</v>
      </c>
      <c r="R55" s="107">
        <v>307</v>
      </c>
    </row>
    <row r="56" spans="1:18" ht="15.75">
      <c r="A56" s="33">
        <v>54</v>
      </c>
      <c r="B56" s="52" t="s">
        <v>219</v>
      </c>
      <c r="C56" s="52" t="s">
        <v>123</v>
      </c>
      <c r="D56" t="str">
        <f>"1851010"</f>
        <v>1851010</v>
      </c>
      <c r="E56" s="57" t="s">
        <v>23</v>
      </c>
      <c r="F56" s="16" t="s">
        <v>26</v>
      </c>
      <c r="G56" s="61" t="s">
        <v>129</v>
      </c>
      <c r="H56" s="16" t="s">
        <v>129</v>
      </c>
      <c r="I56" s="29">
        <v>1970</v>
      </c>
      <c r="J56" s="29" t="s">
        <v>91</v>
      </c>
      <c r="K56" s="52" t="s">
        <v>91</v>
      </c>
      <c r="L56" s="16"/>
      <c r="M56" s="103">
        <v>252</v>
      </c>
      <c r="N56" s="103">
        <v>239</v>
      </c>
      <c r="O56" s="103">
        <v>261</v>
      </c>
      <c r="P56" s="107">
        <v>253</v>
      </c>
      <c r="Q56" s="107">
        <v>289</v>
      </c>
      <c r="R56" s="107">
        <v>279</v>
      </c>
    </row>
    <row r="57" spans="1:18" ht="15.75">
      <c r="A57" s="33">
        <v>55</v>
      </c>
      <c r="B57" s="52" t="s">
        <v>219</v>
      </c>
      <c r="C57" s="52" t="s">
        <v>126</v>
      </c>
      <c r="D57" t="str">
        <f>"1851015"</f>
        <v>1851015</v>
      </c>
      <c r="E57" s="57" t="s">
        <v>23</v>
      </c>
      <c r="F57" s="16" t="s">
        <v>26</v>
      </c>
      <c r="G57" s="61" t="s">
        <v>129</v>
      </c>
      <c r="H57" s="16" t="s">
        <v>129</v>
      </c>
      <c r="I57" s="29">
        <v>1973</v>
      </c>
      <c r="J57" s="29" t="s">
        <v>91</v>
      </c>
      <c r="K57" s="52" t="s">
        <v>91</v>
      </c>
      <c r="L57" s="16"/>
      <c r="M57" s="103">
        <v>27</v>
      </c>
      <c r="N57" s="103">
        <v>27</v>
      </c>
      <c r="O57" s="103">
        <v>24</v>
      </c>
      <c r="P57" s="107">
        <v>21</v>
      </c>
      <c r="Q57" s="107">
        <v>18</v>
      </c>
      <c r="R57" s="107">
        <v>28</v>
      </c>
    </row>
    <row r="58" spans="1:18" ht="30">
      <c r="A58" s="33">
        <v>56</v>
      </c>
      <c r="B58" s="52" t="s">
        <v>219</v>
      </c>
      <c r="C58" s="52" t="s">
        <v>127</v>
      </c>
      <c r="D58" t="str">
        <f>"1854010"</f>
        <v>1854010</v>
      </c>
      <c r="E58" s="57" t="s">
        <v>23</v>
      </c>
      <c r="F58" s="16" t="s">
        <v>26</v>
      </c>
      <c r="G58" s="61" t="s">
        <v>129</v>
      </c>
      <c r="H58" s="16" t="s">
        <v>133</v>
      </c>
      <c r="I58" s="97" t="s">
        <v>253</v>
      </c>
      <c r="J58" s="29" t="s">
        <v>91</v>
      </c>
      <c r="K58" s="52" t="s">
        <v>91</v>
      </c>
      <c r="L58" s="16"/>
      <c r="M58" s="103">
        <v>35</v>
      </c>
      <c r="N58" s="103">
        <v>26</v>
      </c>
      <c r="O58" s="103">
        <v>23</v>
      </c>
      <c r="P58" s="107">
        <v>20</v>
      </c>
      <c r="Q58" s="107">
        <v>15</v>
      </c>
      <c r="R58" s="107">
        <v>11</v>
      </c>
    </row>
    <row r="59" spans="1:18" ht="15.75">
      <c r="A59" s="33">
        <v>57</v>
      </c>
      <c r="B59" s="52" t="s">
        <v>219</v>
      </c>
      <c r="C59" s="52" t="s">
        <v>124</v>
      </c>
      <c r="D59" t="str">
        <f>"1852010"</f>
        <v>1852010</v>
      </c>
      <c r="E59" s="57" t="s">
        <v>23</v>
      </c>
      <c r="F59" s="16" t="s">
        <v>26</v>
      </c>
      <c r="G59" s="61" t="s">
        <v>131</v>
      </c>
      <c r="H59" s="16" t="s">
        <v>135</v>
      </c>
      <c r="I59" s="29">
        <v>1976</v>
      </c>
      <c r="J59" s="29" t="s">
        <v>139</v>
      </c>
      <c r="K59" s="52" t="s">
        <v>91</v>
      </c>
      <c r="L59" s="16"/>
      <c r="M59" s="103">
        <v>140</v>
      </c>
      <c r="N59" s="103">
        <v>128</v>
      </c>
      <c r="O59" s="103">
        <v>120</v>
      </c>
      <c r="P59" s="107">
        <v>124</v>
      </c>
      <c r="Q59" s="107">
        <v>126</v>
      </c>
      <c r="R59" s="107">
        <v>131</v>
      </c>
    </row>
    <row r="60" spans="1:18" ht="30">
      <c r="A60" s="33">
        <v>58</v>
      </c>
      <c r="B60" s="52" t="s">
        <v>219</v>
      </c>
      <c r="C60" s="52" t="s">
        <v>128</v>
      </c>
      <c r="D60" t="str">
        <f>"1853010"</f>
        <v>1853010</v>
      </c>
      <c r="E60" s="57" t="s">
        <v>23</v>
      </c>
      <c r="F60" s="16" t="s">
        <v>26</v>
      </c>
      <c r="G60" s="61" t="s">
        <v>130</v>
      </c>
      <c r="H60" s="16" t="s">
        <v>130</v>
      </c>
      <c r="I60" s="97" t="s">
        <v>254</v>
      </c>
      <c r="J60" s="29" t="s">
        <v>91</v>
      </c>
      <c r="K60" s="52" t="s">
        <v>91</v>
      </c>
      <c r="L60" s="16"/>
      <c r="M60" s="103">
        <v>82</v>
      </c>
      <c r="N60" s="103">
        <v>85</v>
      </c>
      <c r="O60" s="103">
        <v>88</v>
      </c>
      <c r="P60" s="107">
        <v>80</v>
      </c>
      <c r="Q60" s="107">
        <v>94</v>
      </c>
      <c r="R60" s="107">
        <v>96</v>
      </c>
    </row>
    <row r="61" spans="1:18" ht="30">
      <c r="A61" s="33">
        <v>59</v>
      </c>
      <c r="B61" s="16" t="s">
        <v>220</v>
      </c>
      <c r="C61" s="54" t="s">
        <v>146</v>
      </c>
      <c r="D61" t="str">
        <f>"2007010"</f>
        <v>2007010</v>
      </c>
      <c r="E61" s="16" t="s">
        <v>22</v>
      </c>
      <c r="F61" s="16" t="s">
        <v>27</v>
      </c>
      <c r="G61" s="63" t="s">
        <v>226</v>
      </c>
      <c r="H61" s="16" t="s">
        <v>232</v>
      </c>
      <c r="I61" s="62">
        <v>1980</v>
      </c>
      <c r="J61" s="62">
        <v>1980</v>
      </c>
      <c r="K61" s="52" t="s">
        <v>91</v>
      </c>
      <c r="L61" s="16"/>
      <c r="M61" s="103">
        <v>27</v>
      </c>
      <c r="N61" s="103">
        <v>29</v>
      </c>
      <c r="O61" s="103">
        <v>29</v>
      </c>
      <c r="P61" s="102">
        <v>31</v>
      </c>
      <c r="Q61" s="102">
        <v>35</v>
      </c>
      <c r="R61" s="102">
        <v>32</v>
      </c>
    </row>
    <row r="62" spans="1:18" ht="15.75">
      <c r="A62" s="33">
        <v>60</v>
      </c>
      <c r="B62" s="16" t="s">
        <v>220</v>
      </c>
      <c r="C62" s="54" t="s">
        <v>166</v>
      </c>
      <c r="D62" t="str">
        <f>"2006010"</f>
        <v>2006010</v>
      </c>
      <c r="E62" s="16" t="s">
        <v>22</v>
      </c>
      <c r="F62" s="16" t="s">
        <v>27</v>
      </c>
      <c r="G62" s="63" t="s">
        <v>228</v>
      </c>
      <c r="H62" s="16" t="s">
        <v>228</v>
      </c>
      <c r="I62" s="62">
        <v>1977</v>
      </c>
      <c r="J62" s="62">
        <v>1977</v>
      </c>
      <c r="K62" s="52" t="s">
        <v>91</v>
      </c>
      <c r="L62" s="16"/>
      <c r="M62" s="103">
        <v>41</v>
      </c>
      <c r="N62" s="103">
        <v>36</v>
      </c>
      <c r="O62" s="103">
        <v>43</v>
      </c>
      <c r="P62" s="102">
        <v>37</v>
      </c>
      <c r="Q62" s="102">
        <v>36</v>
      </c>
      <c r="R62" s="102">
        <v>41</v>
      </c>
    </row>
    <row r="63" spans="1:18" ht="15.75">
      <c r="A63" s="33">
        <v>61</v>
      </c>
      <c r="B63" s="16" t="s">
        <v>220</v>
      </c>
      <c r="C63" s="54" t="s">
        <v>165</v>
      </c>
      <c r="D63" t="str">
        <f>"2014010"</f>
        <v>2014010</v>
      </c>
      <c r="E63" s="16" t="s">
        <v>22</v>
      </c>
      <c r="F63" s="16" t="s">
        <v>27</v>
      </c>
      <c r="G63" s="63" t="s">
        <v>228</v>
      </c>
      <c r="H63" s="16" t="s">
        <v>236</v>
      </c>
      <c r="I63" s="66">
        <v>1993</v>
      </c>
      <c r="J63" s="66">
        <v>1993</v>
      </c>
      <c r="K63" s="52" t="s">
        <v>91</v>
      </c>
      <c r="L63" s="16"/>
      <c r="M63" s="103">
        <v>256</v>
      </c>
      <c r="N63" s="103">
        <v>244</v>
      </c>
      <c r="O63" s="103">
        <v>259</v>
      </c>
      <c r="P63" s="102">
        <v>268</v>
      </c>
      <c r="Q63" s="102">
        <v>254</v>
      </c>
      <c r="R63" s="102">
        <v>244</v>
      </c>
    </row>
    <row r="64" spans="1:18" ht="15.75">
      <c r="A64" s="33">
        <v>62</v>
      </c>
      <c r="B64" s="16" t="s">
        <v>220</v>
      </c>
      <c r="C64" s="54" t="s">
        <v>163</v>
      </c>
      <c r="D64" t="str">
        <f>"2016090"</f>
        <v>2016090</v>
      </c>
      <c r="E64" s="16" t="s">
        <v>22</v>
      </c>
      <c r="F64" s="16" t="s">
        <v>27</v>
      </c>
      <c r="G64" s="63" t="s">
        <v>228</v>
      </c>
      <c r="H64" s="16" t="s">
        <v>245</v>
      </c>
      <c r="I64" s="65" t="s">
        <v>210</v>
      </c>
      <c r="J64" s="65" t="s">
        <v>210</v>
      </c>
      <c r="K64" s="52" t="s">
        <v>91</v>
      </c>
      <c r="L64" s="16"/>
      <c r="M64" s="103">
        <v>13</v>
      </c>
      <c r="N64" s="103">
        <v>12</v>
      </c>
      <c r="O64" s="103">
        <v>8</v>
      </c>
      <c r="P64" s="102"/>
      <c r="Q64" s="102"/>
      <c r="R64" s="102" t="s">
        <v>246</v>
      </c>
    </row>
    <row r="65" spans="1:18" ht="15.75">
      <c r="A65" s="33">
        <v>63</v>
      </c>
      <c r="B65" s="16" t="s">
        <v>220</v>
      </c>
      <c r="C65" s="54" t="s">
        <v>144</v>
      </c>
      <c r="D65" t="str">
        <f>"2001010"</f>
        <v>2001010</v>
      </c>
      <c r="E65" s="16" t="s">
        <v>22</v>
      </c>
      <c r="F65" s="16" t="s">
        <v>27</v>
      </c>
      <c r="G65" s="59" t="s">
        <v>224</v>
      </c>
      <c r="H65" s="16" t="s">
        <v>230</v>
      </c>
      <c r="I65" s="62">
        <v>1905</v>
      </c>
      <c r="J65" s="62">
        <v>1905</v>
      </c>
      <c r="K65" s="52" t="s">
        <v>91</v>
      </c>
      <c r="L65" s="16"/>
      <c r="M65" s="103">
        <v>203</v>
      </c>
      <c r="N65" s="103">
        <v>219</v>
      </c>
      <c r="O65" s="103">
        <v>216</v>
      </c>
      <c r="P65" s="102">
        <v>227</v>
      </c>
      <c r="Q65" s="102">
        <v>213</v>
      </c>
      <c r="R65" s="102">
        <v>211</v>
      </c>
    </row>
    <row r="66" spans="1:18" ht="15.75">
      <c r="A66" s="33">
        <v>64</v>
      </c>
      <c r="B66" s="16" t="s">
        <v>220</v>
      </c>
      <c r="C66" s="54" t="s">
        <v>147</v>
      </c>
      <c r="D66" t="str">
        <f>"2001020"</f>
        <v>2001020</v>
      </c>
      <c r="E66" s="16" t="s">
        <v>22</v>
      </c>
      <c r="F66" s="16" t="s">
        <v>27</v>
      </c>
      <c r="G66" s="59" t="s">
        <v>224</v>
      </c>
      <c r="H66" s="16" t="s">
        <v>230</v>
      </c>
      <c r="I66" s="62">
        <v>1992</v>
      </c>
      <c r="J66" s="62">
        <v>1992</v>
      </c>
      <c r="K66" s="52" t="s">
        <v>91</v>
      </c>
      <c r="L66" s="16"/>
      <c r="M66" s="103">
        <v>130</v>
      </c>
      <c r="N66" s="103">
        <v>154</v>
      </c>
      <c r="O66" s="103">
        <v>159</v>
      </c>
      <c r="P66" s="102">
        <v>180</v>
      </c>
      <c r="Q66" s="102">
        <v>160</v>
      </c>
      <c r="R66" s="102">
        <v>139</v>
      </c>
    </row>
    <row r="67" spans="1:18" ht="15.75">
      <c r="A67" s="33">
        <v>65</v>
      </c>
      <c r="B67" s="16" t="s">
        <v>220</v>
      </c>
      <c r="C67" s="54" t="s">
        <v>149</v>
      </c>
      <c r="D67" t="str">
        <f>"2001021"</f>
        <v>2001021</v>
      </c>
      <c r="E67" s="16" t="s">
        <v>22</v>
      </c>
      <c r="F67" s="16" t="s">
        <v>27</v>
      </c>
      <c r="G67" s="59" t="s">
        <v>224</v>
      </c>
      <c r="H67" s="16" t="s">
        <v>230</v>
      </c>
      <c r="I67" s="62">
        <v>1979</v>
      </c>
      <c r="J67" s="62">
        <v>1979</v>
      </c>
      <c r="K67" s="52" t="s">
        <v>91</v>
      </c>
      <c r="L67" s="16"/>
      <c r="M67" s="103">
        <v>215</v>
      </c>
      <c r="N67" s="103">
        <v>203</v>
      </c>
      <c r="O67" s="103">
        <v>210</v>
      </c>
      <c r="P67" s="102">
        <v>213</v>
      </c>
      <c r="Q67" s="102">
        <v>207</v>
      </c>
      <c r="R67" s="102">
        <v>199</v>
      </c>
    </row>
    <row r="68" spans="1:18" ht="15.75">
      <c r="A68" s="33">
        <v>66</v>
      </c>
      <c r="B68" s="16" t="s">
        <v>220</v>
      </c>
      <c r="C68" s="54" t="s">
        <v>178</v>
      </c>
      <c r="D68" t="str">
        <f>"2001030"</f>
        <v>2001030</v>
      </c>
      <c r="E68" s="16" t="s">
        <v>22</v>
      </c>
      <c r="F68" s="16" t="s">
        <v>27</v>
      </c>
      <c r="G68" s="59" t="s">
        <v>224</v>
      </c>
      <c r="H68" s="16" t="s">
        <v>230</v>
      </c>
      <c r="I68" s="65">
        <v>1999</v>
      </c>
      <c r="J68" s="65">
        <v>1999</v>
      </c>
      <c r="K68" s="52" t="s">
        <v>91</v>
      </c>
      <c r="L68" s="16"/>
      <c r="M68" s="103">
        <v>264</v>
      </c>
      <c r="N68" s="103">
        <v>264</v>
      </c>
      <c r="O68" s="103">
        <v>262</v>
      </c>
      <c r="P68" s="102">
        <v>263</v>
      </c>
      <c r="Q68" s="102">
        <v>262</v>
      </c>
      <c r="R68" s="102">
        <v>264</v>
      </c>
    </row>
    <row r="69" spans="1:18" ht="30">
      <c r="A69" s="33">
        <v>67</v>
      </c>
      <c r="B69" s="16" t="s">
        <v>220</v>
      </c>
      <c r="C69" s="56" t="s">
        <v>150</v>
      </c>
      <c r="D69" t="str">
        <f>"2001040"</f>
        <v>2001040</v>
      </c>
      <c r="E69" s="16" t="s">
        <v>22</v>
      </c>
      <c r="F69" s="16" t="s">
        <v>27</v>
      </c>
      <c r="G69" s="59" t="s">
        <v>224</v>
      </c>
      <c r="H69" s="16" t="s">
        <v>230</v>
      </c>
      <c r="I69" s="62" t="s">
        <v>205</v>
      </c>
      <c r="J69" s="62" t="s">
        <v>205</v>
      </c>
      <c r="K69" s="52" t="s">
        <v>91</v>
      </c>
      <c r="L69" s="16"/>
      <c r="M69" s="103">
        <v>197</v>
      </c>
      <c r="N69" s="103">
        <v>215</v>
      </c>
      <c r="O69" s="103">
        <v>214</v>
      </c>
      <c r="P69" s="102">
        <v>214</v>
      </c>
      <c r="Q69" s="102">
        <v>201</v>
      </c>
      <c r="R69" s="102">
        <v>198</v>
      </c>
    </row>
    <row r="70" spans="1:18" ht="15.75">
      <c r="A70" s="33">
        <v>68</v>
      </c>
      <c r="B70" s="16" t="s">
        <v>220</v>
      </c>
      <c r="C70" s="54" t="s">
        <v>159</v>
      </c>
      <c r="D70" t="str">
        <f>"2001050"</f>
        <v>2001050</v>
      </c>
      <c r="E70" s="16" t="s">
        <v>22</v>
      </c>
      <c r="F70" s="16" t="s">
        <v>27</v>
      </c>
      <c r="G70" s="59" t="s">
        <v>224</v>
      </c>
      <c r="H70" s="16" t="s">
        <v>230</v>
      </c>
      <c r="I70" s="65" t="s">
        <v>208</v>
      </c>
      <c r="J70" s="65" t="s">
        <v>208</v>
      </c>
      <c r="K70" s="52" t="s">
        <v>91</v>
      </c>
      <c r="L70" s="16"/>
      <c r="M70" s="103">
        <v>18</v>
      </c>
      <c r="N70" s="103">
        <v>26</v>
      </c>
      <c r="O70" s="103">
        <v>16</v>
      </c>
      <c r="P70" s="102">
        <v>23</v>
      </c>
      <c r="Q70" s="102">
        <v>26</v>
      </c>
      <c r="R70" s="102">
        <v>26</v>
      </c>
    </row>
    <row r="71" spans="1:18" ht="15.75">
      <c r="A71" s="33">
        <v>69</v>
      </c>
      <c r="B71" s="16" t="s">
        <v>220</v>
      </c>
      <c r="C71" s="54" t="s">
        <v>161</v>
      </c>
      <c r="D71" t="str">
        <f>"2001060"</f>
        <v>2001060</v>
      </c>
      <c r="E71" s="16" t="s">
        <v>22</v>
      </c>
      <c r="F71" s="16" t="s">
        <v>27</v>
      </c>
      <c r="G71" s="59" t="s">
        <v>224</v>
      </c>
      <c r="H71" s="16" t="s">
        <v>222</v>
      </c>
      <c r="I71" s="64">
        <v>32322</v>
      </c>
      <c r="J71" s="64">
        <v>32322</v>
      </c>
      <c r="K71" s="52" t="s">
        <v>91</v>
      </c>
      <c r="L71" s="16"/>
      <c r="M71" s="103">
        <v>208</v>
      </c>
      <c r="N71" s="103">
        <v>226</v>
      </c>
      <c r="O71" s="103">
        <v>245</v>
      </c>
      <c r="P71" s="102">
        <v>272</v>
      </c>
      <c r="Q71" s="102">
        <v>279</v>
      </c>
      <c r="R71" s="102">
        <v>268</v>
      </c>
    </row>
    <row r="72" spans="1:18" ht="15.75">
      <c r="A72" s="33">
        <v>70</v>
      </c>
      <c r="B72" s="16" t="s">
        <v>220</v>
      </c>
      <c r="C72" s="54" t="s">
        <v>174</v>
      </c>
      <c r="D72" t="str">
        <f>"2001061"</f>
        <v>2001061</v>
      </c>
      <c r="E72" s="16" t="s">
        <v>22</v>
      </c>
      <c r="F72" s="16" t="s">
        <v>27</v>
      </c>
      <c r="G72" s="59" t="s">
        <v>224</v>
      </c>
      <c r="H72" s="16" t="s">
        <v>239</v>
      </c>
      <c r="I72" s="62">
        <v>1991</v>
      </c>
      <c r="J72" s="62">
        <v>1991</v>
      </c>
      <c r="K72" s="52" t="s">
        <v>91</v>
      </c>
      <c r="L72" s="16"/>
      <c r="M72" s="103">
        <v>145</v>
      </c>
      <c r="N72" s="103">
        <v>152</v>
      </c>
      <c r="O72" s="103">
        <v>144</v>
      </c>
      <c r="P72" s="102">
        <v>136</v>
      </c>
      <c r="Q72" s="102">
        <v>133</v>
      </c>
      <c r="R72" s="102">
        <v>118</v>
      </c>
    </row>
    <row r="73" spans="1:18" ht="15.75">
      <c r="A73" s="33">
        <v>71</v>
      </c>
      <c r="B73" s="16" t="s">
        <v>220</v>
      </c>
      <c r="C73" s="55" t="s">
        <v>148</v>
      </c>
      <c r="D73" s="116" t="str">
        <f>"2001065"</f>
        <v>2001065</v>
      </c>
      <c r="E73" s="16" t="s">
        <v>22</v>
      </c>
      <c r="F73" s="16" t="s">
        <v>27</v>
      </c>
      <c r="G73" s="63" t="s">
        <v>224</v>
      </c>
      <c r="H73" s="16"/>
      <c r="I73" s="62">
        <v>2010</v>
      </c>
      <c r="J73" s="62">
        <v>2010</v>
      </c>
      <c r="K73" s="52" t="s">
        <v>91</v>
      </c>
      <c r="L73" s="16"/>
      <c r="M73" s="103">
        <v>151</v>
      </c>
      <c r="N73" s="103">
        <v>144</v>
      </c>
      <c r="O73" s="103">
        <v>147</v>
      </c>
      <c r="P73" s="102">
        <v>173</v>
      </c>
      <c r="Q73" s="102">
        <v>187</v>
      </c>
      <c r="R73" s="102">
        <v>184</v>
      </c>
    </row>
    <row r="74" spans="1:18" ht="15.75">
      <c r="A74" s="33">
        <v>72</v>
      </c>
      <c r="B74" s="16" t="s">
        <v>220</v>
      </c>
      <c r="C74" s="54" t="s">
        <v>151</v>
      </c>
      <c r="D74" t="str">
        <f>"2001070"</f>
        <v>2001070</v>
      </c>
      <c r="E74" s="16" t="s">
        <v>22</v>
      </c>
      <c r="F74" s="16" t="s">
        <v>27</v>
      </c>
      <c r="G74" s="59" t="s">
        <v>224</v>
      </c>
      <c r="H74" s="16" t="s">
        <v>230</v>
      </c>
      <c r="I74" s="60">
        <v>2009</v>
      </c>
      <c r="J74" s="60">
        <v>2009</v>
      </c>
      <c r="K74" s="52" t="s">
        <v>91</v>
      </c>
      <c r="L74" s="16"/>
      <c r="M74" s="103">
        <v>239</v>
      </c>
      <c r="N74" s="103">
        <v>219</v>
      </c>
      <c r="O74" s="103">
        <v>223</v>
      </c>
      <c r="P74" s="102">
        <v>213</v>
      </c>
      <c r="Q74" s="102">
        <v>205</v>
      </c>
      <c r="R74" s="102">
        <v>187</v>
      </c>
    </row>
    <row r="75" spans="1:18" ht="15.75">
      <c r="A75" s="33">
        <v>73</v>
      </c>
      <c r="B75" s="16" t="s">
        <v>220</v>
      </c>
      <c r="C75" s="54" t="s">
        <v>152</v>
      </c>
      <c r="D75" t="str">
        <f>"2001071"</f>
        <v>2001071</v>
      </c>
      <c r="E75" s="16" t="s">
        <v>22</v>
      </c>
      <c r="F75" s="16" t="s">
        <v>27</v>
      </c>
      <c r="G75" s="59" t="s">
        <v>224</v>
      </c>
      <c r="H75" s="16" t="s">
        <v>230</v>
      </c>
      <c r="I75" s="62" t="s">
        <v>206</v>
      </c>
      <c r="J75" s="62" t="s">
        <v>206</v>
      </c>
      <c r="K75" s="52" t="s">
        <v>91</v>
      </c>
      <c r="L75" s="16"/>
      <c r="M75" s="103">
        <v>125</v>
      </c>
      <c r="N75" s="103">
        <v>129</v>
      </c>
      <c r="O75" s="103">
        <v>128</v>
      </c>
      <c r="P75" s="102">
        <v>140</v>
      </c>
      <c r="Q75" s="102">
        <v>136</v>
      </c>
      <c r="R75" s="102">
        <v>132</v>
      </c>
    </row>
    <row r="76" spans="1:18" ht="15.75">
      <c r="A76" s="33">
        <v>74</v>
      </c>
      <c r="B76" s="16" t="s">
        <v>220</v>
      </c>
      <c r="C76" s="54" t="s">
        <v>153</v>
      </c>
      <c r="D76" t="str">
        <f>"2001072"</f>
        <v>2001072</v>
      </c>
      <c r="E76" s="16" t="s">
        <v>22</v>
      </c>
      <c r="F76" s="16" t="s">
        <v>27</v>
      </c>
      <c r="G76" s="59" t="s">
        <v>224</v>
      </c>
      <c r="H76" s="16" t="s">
        <v>230</v>
      </c>
      <c r="I76" s="62">
        <v>1983</v>
      </c>
      <c r="J76" s="62">
        <v>1983</v>
      </c>
      <c r="K76" s="52" t="s">
        <v>91</v>
      </c>
      <c r="L76" s="16"/>
      <c r="M76" s="103">
        <v>227</v>
      </c>
      <c r="N76" s="103">
        <v>250</v>
      </c>
      <c r="O76" s="103">
        <v>238</v>
      </c>
      <c r="P76" s="102">
        <v>243</v>
      </c>
      <c r="Q76" s="102">
        <v>214</v>
      </c>
      <c r="R76" s="102">
        <v>216</v>
      </c>
    </row>
    <row r="77" spans="1:18" ht="15.75">
      <c r="A77" s="33">
        <v>75</v>
      </c>
      <c r="B77" s="16" t="s">
        <v>220</v>
      </c>
      <c r="C77" s="54" t="s">
        <v>154</v>
      </c>
      <c r="D77" t="str">
        <f>"2001073"</f>
        <v>2001073</v>
      </c>
      <c r="E77" s="16" t="s">
        <v>22</v>
      </c>
      <c r="F77" s="16" t="s">
        <v>27</v>
      </c>
      <c r="G77" s="59" t="s">
        <v>224</v>
      </c>
      <c r="H77" s="16" t="s">
        <v>230</v>
      </c>
      <c r="I77" s="64">
        <v>31198</v>
      </c>
      <c r="J77" s="64">
        <v>31198</v>
      </c>
      <c r="K77" s="52" t="s">
        <v>91</v>
      </c>
      <c r="L77" s="16"/>
      <c r="M77" s="103">
        <v>167</v>
      </c>
      <c r="N77" s="103">
        <v>162</v>
      </c>
      <c r="O77" s="103">
        <v>149</v>
      </c>
      <c r="P77" s="102">
        <v>132</v>
      </c>
      <c r="Q77" s="102">
        <v>138</v>
      </c>
      <c r="R77" s="102">
        <v>133</v>
      </c>
    </row>
    <row r="78" spans="1:18" ht="15.75">
      <c r="A78" s="33">
        <v>76</v>
      </c>
      <c r="B78" s="16" t="s">
        <v>220</v>
      </c>
      <c r="C78" s="54" t="s">
        <v>155</v>
      </c>
      <c r="D78" t="str">
        <f>"2001075"</f>
        <v>2001075</v>
      </c>
      <c r="E78" s="16" t="s">
        <v>22</v>
      </c>
      <c r="F78" s="16" t="s">
        <v>27</v>
      </c>
      <c r="G78" s="59" t="s">
        <v>224</v>
      </c>
      <c r="H78" s="16" t="s">
        <v>230</v>
      </c>
      <c r="I78" s="65">
        <v>1950</v>
      </c>
      <c r="J78" s="65">
        <v>1950</v>
      </c>
      <c r="K78" s="52" t="s">
        <v>91</v>
      </c>
      <c r="L78" s="16"/>
      <c r="M78" s="103">
        <v>119</v>
      </c>
      <c r="N78" s="103">
        <v>125</v>
      </c>
      <c r="O78" s="103">
        <v>126</v>
      </c>
      <c r="P78" s="102">
        <v>133</v>
      </c>
      <c r="Q78" s="102">
        <v>140</v>
      </c>
      <c r="R78" s="102">
        <v>135</v>
      </c>
    </row>
    <row r="79" spans="1:18" ht="30">
      <c r="A79" s="33">
        <v>77</v>
      </c>
      <c r="B79" s="16" t="s">
        <v>220</v>
      </c>
      <c r="C79" s="54" t="s">
        <v>142</v>
      </c>
      <c r="D79" t="str">
        <f>"2001077"</f>
        <v>2001077</v>
      </c>
      <c r="E79" s="16" t="s">
        <v>22</v>
      </c>
      <c r="F79" s="16" t="s">
        <v>27</v>
      </c>
      <c r="G79" s="59" t="s">
        <v>224</v>
      </c>
      <c r="H79" s="16" t="s">
        <v>230</v>
      </c>
      <c r="I79" s="62">
        <v>1979</v>
      </c>
      <c r="J79" s="62">
        <v>1979</v>
      </c>
      <c r="K79" s="52" t="s">
        <v>91</v>
      </c>
      <c r="L79" s="16"/>
      <c r="M79" s="103">
        <v>220</v>
      </c>
      <c r="N79" s="103">
        <v>213</v>
      </c>
      <c r="O79" s="103">
        <v>211</v>
      </c>
      <c r="P79" s="102">
        <v>209</v>
      </c>
      <c r="Q79" s="102">
        <v>220</v>
      </c>
      <c r="R79" s="102">
        <v>203</v>
      </c>
    </row>
    <row r="80" spans="1:18" ht="15.75">
      <c r="A80" s="33">
        <v>78</v>
      </c>
      <c r="B80" s="16" t="s">
        <v>220</v>
      </c>
      <c r="C80" s="54" t="s">
        <v>143</v>
      </c>
      <c r="D80" t="str">
        <f>"2001078"</f>
        <v>2001078</v>
      </c>
      <c r="E80" s="16" t="s">
        <v>22</v>
      </c>
      <c r="F80" s="16" t="s">
        <v>27</v>
      </c>
      <c r="G80" s="59" t="s">
        <v>224</v>
      </c>
      <c r="H80" s="16" t="s">
        <v>230</v>
      </c>
      <c r="I80" s="62">
        <v>2005</v>
      </c>
      <c r="J80" s="62">
        <v>2005</v>
      </c>
      <c r="K80" s="52" t="s">
        <v>91</v>
      </c>
      <c r="L80" s="16"/>
      <c r="M80" s="103">
        <v>162</v>
      </c>
      <c r="N80" s="103">
        <v>163</v>
      </c>
      <c r="O80" s="103">
        <v>169</v>
      </c>
      <c r="P80" s="102">
        <v>169</v>
      </c>
      <c r="Q80" s="102">
        <v>171</v>
      </c>
      <c r="R80" s="102">
        <v>163</v>
      </c>
    </row>
    <row r="81" spans="1:18" ht="30">
      <c r="A81" s="33">
        <v>79</v>
      </c>
      <c r="B81" s="16" t="s">
        <v>220</v>
      </c>
      <c r="C81" s="54" t="s">
        <v>176</v>
      </c>
      <c r="D81" t="str">
        <f>"2001079"</f>
        <v>2001079</v>
      </c>
      <c r="E81" s="16" t="s">
        <v>22</v>
      </c>
      <c r="F81" s="16" t="s">
        <v>27</v>
      </c>
      <c r="G81" s="59" t="s">
        <v>224</v>
      </c>
      <c r="H81" s="16" t="s">
        <v>244</v>
      </c>
      <c r="I81" s="62" t="s">
        <v>212</v>
      </c>
      <c r="J81" s="62" t="s">
        <v>212</v>
      </c>
      <c r="K81" s="52" t="s">
        <v>91</v>
      </c>
      <c r="L81" s="16"/>
      <c r="M81" s="103">
        <v>102</v>
      </c>
      <c r="N81" s="103">
        <v>91</v>
      </c>
      <c r="O81" s="103">
        <v>84</v>
      </c>
      <c r="P81" s="102">
        <v>72</v>
      </c>
      <c r="Q81" s="102">
        <v>76</v>
      </c>
      <c r="R81" s="102">
        <v>75</v>
      </c>
    </row>
    <row r="82" spans="1:18" ht="15.75">
      <c r="A82" s="33">
        <v>80</v>
      </c>
      <c r="B82" s="16" t="s">
        <v>220</v>
      </c>
      <c r="C82" s="54" t="s">
        <v>162</v>
      </c>
      <c r="D82" t="str">
        <f>"2001081"</f>
        <v>2001081</v>
      </c>
      <c r="E82" s="16" t="s">
        <v>22</v>
      </c>
      <c r="F82" s="16" t="s">
        <v>27</v>
      </c>
      <c r="G82" s="59" t="s">
        <v>224</v>
      </c>
      <c r="H82" s="16" t="s">
        <v>230</v>
      </c>
      <c r="I82" s="62" t="s">
        <v>209</v>
      </c>
      <c r="J82" s="62" t="s">
        <v>209</v>
      </c>
      <c r="K82" s="52" t="s">
        <v>91</v>
      </c>
      <c r="L82" s="16"/>
      <c r="M82" s="103">
        <v>208</v>
      </c>
      <c r="N82" s="103">
        <v>200</v>
      </c>
      <c r="O82" s="103">
        <v>209</v>
      </c>
      <c r="P82" s="102">
        <v>210</v>
      </c>
      <c r="Q82" s="102">
        <v>227</v>
      </c>
      <c r="R82" s="102">
        <v>217</v>
      </c>
    </row>
    <row r="83" spans="1:18" ht="15.75">
      <c r="A83" s="33">
        <v>81</v>
      </c>
      <c r="B83" s="16" t="s">
        <v>220</v>
      </c>
      <c r="C83" s="54" t="s">
        <v>156</v>
      </c>
      <c r="D83" t="str">
        <f>"2003010"</f>
        <v>2003010</v>
      </c>
      <c r="E83" s="16" t="s">
        <v>22</v>
      </c>
      <c r="F83" s="16" t="s">
        <v>27</v>
      </c>
      <c r="G83" s="59" t="s">
        <v>224</v>
      </c>
      <c r="H83" s="16" t="s">
        <v>230</v>
      </c>
      <c r="I83" s="62">
        <v>1964</v>
      </c>
      <c r="J83" s="62">
        <v>1964</v>
      </c>
      <c r="K83" s="52" t="s">
        <v>91</v>
      </c>
      <c r="L83" s="16"/>
      <c r="M83" s="103">
        <v>43</v>
      </c>
      <c r="N83" s="103">
        <v>43</v>
      </c>
      <c r="O83" s="103">
        <v>28</v>
      </c>
      <c r="P83" s="102">
        <v>26</v>
      </c>
      <c r="Q83" s="102">
        <v>25</v>
      </c>
      <c r="R83" s="102">
        <v>25</v>
      </c>
    </row>
    <row r="84" spans="1:18" ht="15.75">
      <c r="A84" s="33">
        <v>82</v>
      </c>
      <c r="B84" s="16" t="s">
        <v>220</v>
      </c>
      <c r="C84" s="54" t="s">
        <v>167</v>
      </c>
      <c r="D84" t="str">
        <f>"2012010"</f>
        <v>2012010</v>
      </c>
      <c r="E84" s="16" t="s">
        <v>22</v>
      </c>
      <c r="F84" s="16" t="s">
        <v>27</v>
      </c>
      <c r="G84" s="59" t="s">
        <v>224</v>
      </c>
      <c r="H84" s="16" t="s">
        <v>240</v>
      </c>
      <c r="I84" s="65">
        <v>2002</v>
      </c>
      <c r="J84" s="65">
        <v>2002</v>
      </c>
      <c r="K84" s="52" t="s">
        <v>91</v>
      </c>
      <c r="L84" s="16"/>
      <c r="M84" s="103">
        <v>150</v>
      </c>
      <c r="N84" s="103">
        <v>149</v>
      </c>
      <c r="O84" s="103">
        <v>151</v>
      </c>
      <c r="P84" s="102">
        <v>138</v>
      </c>
      <c r="Q84" s="102">
        <v>148</v>
      </c>
      <c r="R84" s="102">
        <v>148</v>
      </c>
    </row>
    <row r="85" spans="1:18" ht="15.75">
      <c r="A85" s="33">
        <v>83</v>
      </c>
      <c r="B85" s="16" t="s">
        <v>220</v>
      </c>
      <c r="C85" s="54" t="s">
        <v>173</v>
      </c>
      <c r="D85" t="str">
        <f>"2012050"</f>
        <v>2012050</v>
      </c>
      <c r="E85" s="16" t="s">
        <v>22</v>
      </c>
      <c r="F85" s="16" t="s">
        <v>27</v>
      </c>
      <c r="G85" s="59" t="s">
        <v>224</v>
      </c>
      <c r="H85" s="16" t="s">
        <v>242</v>
      </c>
      <c r="I85" s="62" t="s">
        <v>211</v>
      </c>
      <c r="J85" s="62" t="s">
        <v>211</v>
      </c>
      <c r="K85" s="52" t="s">
        <v>91</v>
      </c>
      <c r="L85" s="16"/>
      <c r="M85" s="103">
        <v>66</v>
      </c>
      <c r="N85" s="103">
        <v>74</v>
      </c>
      <c r="O85" s="103">
        <v>80</v>
      </c>
      <c r="P85" s="102">
        <v>87</v>
      </c>
      <c r="Q85" s="102">
        <v>80</v>
      </c>
      <c r="R85" s="102">
        <v>81</v>
      </c>
    </row>
    <row r="86" spans="1:18" ht="15.75">
      <c r="A86" s="33">
        <v>84</v>
      </c>
      <c r="B86" s="16" t="s">
        <v>220</v>
      </c>
      <c r="C86" s="54" t="s">
        <v>169</v>
      </c>
      <c r="D86" t="str">
        <f>"2012070"</f>
        <v>2012070</v>
      </c>
      <c r="E86" s="16" t="s">
        <v>22</v>
      </c>
      <c r="F86" s="16" t="s">
        <v>27</v>
      </c>
      <c r="G86" s="59" t="s">
        <v>224</v>
      </c>
      <c r="H86" s="16" t="s">
        <v>237</v>
      </c>
      <c r="I86" s="62">
        <v>1988</v>
      </c>
      <c r="J86" s="62">
        <v>1988</v>
      </c>
      <c r="K86" s="52" t="s">
        <v>91</v>
      </c>
      <c r="L86" s="16"/>
      <c r="M86" s="103">
        <v>69</v>
      </c>
      <c r="N86" s="103">
        <v>67</v>
      </c>
      <c r="O86" s="103">
        <v>70</v>
      </c>
      <c r="P86" s="102">
        <v>81</v>
      </c>
      <c r="Q86" s="102">
        <v>80</v>
      </c>
      <c r="R86" s="102">
        <v>86</v>
      </c>
    </row>
    <row r="87" spans="1:18" ht="15.75">
      <c r="A87" s="33">
        <v>85</v>
      </c>
      <c r="B87" s="16" t="s">
        <v>220</v>
      </c>
      <c r="C87" s="54" t="s">
        <v>157</v>
      </c>
      <c r="D87" s="116" t="str">
        <f>"2015010"</f>
        <v>2015010</v>
      </c>
      <c r="E87" s="16" t="s">
        <v>22</v>
      </c>
      <c r="F87" s="16" t="s">
        <v>27</v>
      </c>
      <c r="G87" s="59" t="s">
        <v>224</v>
      </c>
      <c r="H87" s="16" t="s">
        <v>230</v>
      </c>
      <c r="I87" s="62">
        <v>1985</v>
      </c>
      <c r="J87" s="62">
        <v>1985</v>
      </c>
      <c r="K87" s="52" t="s">
        <v>91</v>
      </c>
      <c r="L87" s="16"/>
      <c r="M87" s="103">
        <v>104</v>
      </c>
      <c r="N87" s="103">
        <v>94</v>
      </c>
      <c r="O87" s="103">
        <v>89</v>
      </c>
      <c r="P87" s="102">
        <v>100</v>
      </c>
      <c r="Q87" s="102">
        <v>108</v>
      </c>
      <c r="R87" s="102">
        <v>110</v>
      </c>
    </row>
    <row r="88" spans="1:18" ht="15.75">
      <c r="A88" s="33">
        <v>86</v>
      </c>
      <c r="B88" s="16" t="s">
        <v>220</v>
      </c>
      <c r="C88" s="54" t="s">
        <v>171</v>
      </c>
      <c r="D88" t="str">
        <f>"2015090"</f>
        <v>2015090</v>
      </c>
      <c r="E88" s="16" t="s">
        <v>22</v>
      </c>
      <c r="F88" s="16" t="s">
        <v>27</v>
      </c>
      <c r="G88" s="59" t="s">
        <v>224</v>
      </c>
      <c r="H88" s="16" t="s">
        <v>241</v>
      </c>
      <c r="I88" s="62">
        <v>1996</v>
      </c>
      <c r="J88" s="62">
        <v>1996</v>
      </c>
      <c r="K88" s="52" t="s">
        <v>91</v>
      </c>
      <c r="L88" s="16"/>
      <c r="M88" s="103">
        <v>33</v>
      </c>
      <c r="N88" s="103">
        <v>54</v>
      </c>
      <c r="O88" s="103">
        <v>38</v>
      </c>
      <c r="P88" s="102">
        <v>28</v>
      </c>
      <c r="Q88" s="102">
        <v>25</v>
      </c>
      <c r="R88" s="102">
        <v>25</v>
      </c>
    </row>
    <row r="89" spans="1:18" ht="15.75">
      <c r="A89" s="33">
        <v>87</v>
      </c>
      <c r="B89" s="16" t="s">
        <v>220</v>
      </c>
      <c r="C89" s="54" t="s">
        <v>170</v>
      </c>
      <c r="D89" t="str">
        <f>"2018010"</f>
        <v>2018010</v>
      </c>
      <c r="E89" s="16" t="s">
        <v>22</v>
      </c>
      <c r="F89" s="16" t="s">
        <v>27</v>
      </c>
      <c r="G89" s="59" t="s">
        <v>224</v>
      </c>
      <c r="H89" s="16" t="s">
        <v>238</v>
      </c>
      <c r="I89" s="62">
        <v>1990</v>
      </c>
      <c r="J89" s="62">
        <v>1990</v>
      </c>
      <c r="K89" s="52" t="s">
        <v>91</v>
      </c>
      <c r="L89" s="16"/>
      <c r="M89" s="103">
        <v>32</v>
      </c>
      <c r="N89" s="103">
        <v>42</v>
      </c>
      <c r="O89" s="103">
        <v>40</v>
      </c>
      <c r="P89" s="102">
        <v>38</v>
      </c>
      <c r="Q89" s="102">
        <v>39</v>
      </c>
      <c r="R89" s="102">
        <v>42</v>
      </c>
    </row>
    <row r="90" spans="1:18" ht="15.75">
      <c r="A90" s="33">
        <v>88</v>
      </c>
      <c r="B90" s="16" t="s">
        <v>220</v>
      </c>
      <c r="C90" s="54" t="s">
        <v>158</v>
      </c>
      <c r="D90" t="str">
        <f>"2050960"</f>
        <v>2050960</v>
      </c>
      <c r="E90" s="16" t="s">
        <v>22</v>
      </c>
      <c r="F90" s="16" t="s">
        <v>27</v>
      </c>
      <c r="G90" s="59" t="s">
        <v>224</v>
      </c>
      <c r="H90" s="16" t="s">
        <v>230</v>
      </c>
      <c r="I90" s="62" t="s">
        <v>207</v>
      </c>
      <c r="J90" s="62" t="s">
        <v>207</v>
      </c>
      <c r="K90" s="52" t="s">
        <v>91</v>
      </c>
      <c r="L90" s="16"/>
      <c r="M90" s="103">
        <v>47</v>
      </c>
      <c r="N90" s="103">
        <v>49</v>
      </c>
      <c r="O90" s="103">
        <v>58</v>
      </c>
      <c r="P90" s="102">
        <v>62</v>
      </c>
      <c r="Q90" s="102">
        <v>62</v>
      </c>
      <c r="R90" s="102">
        <v>65</v>
      </c>
    </row>
    <row r="91" spans="1:18" ht="15.75">
      <c r="A91" s="33">
        <v>89</v>
      </c>
      <c r="B91" s="16" t="s">
        <v>220</v>
      </c>
      <c r="C91" s="54" t="s">
        <v>168</v>
      </c>
      <c r="D91" t="str">
        <f>"2004010"</f>
        <v>2004010</v>
      </c>
      <c r="E91" s="16" t="s">
        <v>22</v>
      </c>
      <c r="F91" s="16" t="s">
        <v>27</v>
      </c>
      <c r="G91" s="63" t="s">
        <v>229</v>
      </c>
      <c r="H91" s="16" t="s">
        <v>229</v>
      </c>
      <c r="I91" s="62">
        <v>1969</v>
      </c>
      <c r="J91" s="62">
        <v>1969</v>
      </c>
      <c r="K91" s="52" t="s">
        <v>91</v>
      </c>
      <c r="L91" s="16"/>
      <c r="M91" s="103">
        <v>106</v>
      </c>
      <c r="N91" s="103">
        <v>98</v>
      </c>
      <c r="O91" s="103">
        <v>101</v>
      </c>
      <c r="P91" s="102">
        <v>99</v>
      </c>
      <c r="Q91" s="102">
        <v>102</v>
      </c>
      <c r="R91" s="102">
        <v>99</v>
      </c>
    </row>
    <row r="92" spans="1:18" ht="15.75">
      <c r="A92" s="33">
        <v>90</v>
      </c>
      <c r="B92" s="16" t="s">
        <v>220</v>
      </c>
      <c r="C92" s="54" t="s">
        <v>172</v>
      </c>
      <c r="D92" t="str">
        <f>"2005010"</f>
        <v>2005010</v>
      </c>
      <c r="E92" s="16" t="s">
        <v>22</v>
      </c>
      <c r="F92" s="16" t="s">
        <v>27</v>
      </c>
      <c r="G92" s="63" t="s">
        <v>227</v>
      </c>
      <c r="H92" s="16" t="s">
        <v>227</v>
      </c>
      <c r="I92" s="62">
        <v>1974</v>
      </c>
      <c r="J92" s="62">
        <v>1974</v>
      </c>
      <c r="K92" s="52" t="s">
        <v>91</v>
      </c>
      <c r="L92" s="16"/>
      <c r="M92" s="103">
        <v>111</v>
      </c>
      <c r="N92" s="103">
        <v>95</v>
      </c>
      <c r="O92" s="103">
        <v>87</v>
      </c>
      <c r="P92" s="102">
        <v>99</v>
      </c>
      <c r="Q92" s="102">
        <v>90</v>
      </c>
      <c r="R92" s="102">
        <v>82</v>
      </c>
    </row>
    <row r="93" spans="1:18" ht="15.75">
      <c r="A93" s="33">
        <v>91</v>
      </c>
      <c r="B93" s="16" t="s">
        <v>220</v>
      </c>
      <c r="C93" s="54" t="s">
        <v>160</v>
      </c>
      <c r="D93" t="str">
        <f>"2017010"</f>
        <v>2017010</v>
      </c>
      <c r="E93" s="16" t="s">
        <v>22</v>
      </c>
      <c r="F93" s="16" t="s">
        <v>27</v>
      </c>
      <c r="G93" s="63" t="s">
        <v>227</v>
      </c>
      <c r="H93" s="16" t="s">
        <v>233</v>
      </c>
      <c r="I93" s="62">
        <v>2001</v>
      </c>
      <c r="J93" s="62">
        <v>2001</v>
      </c>
      <c r="K93" s="52" t="s">
        <v>91</v>
      </c>
      <c r="L93" s="16"/>
      <c r="M93" s="103">
        <v>75</v>
      </c>
      <c r="N93" s="103">
        <v>67</v>
      </c>
      <c r="O93" s="103">
        <v>65</v>
      </c>
      <c r="P93" s="102">
        <v>64</v>
      </c>
      <c r="Q93" s="102">
        <v>70</v>
      </c>
      <c r="R93" s="102">
        <v>72</v>
      </c>
    </row>
    <row r="94" spans="1:18" ht="30">
      <c r="A94" s="33">
        <v>92</v>
      </c>
      <c r="B94" s="16" t="s">
        <v>220</v>
      </c>
      <c r="C94" s="54" t="s">
        <v>145</v>
      </c>
      <c r="D94" t="str">
        <f>"2003020"</f>
        <v>2003020</v>
      </c>
      <c r="E94" s="16" t="s">
        <v>22</v>
      </c>
      <c r="F94" s="16" t="s">
        <v>27</v>
      </c>
      <c r="G94" s="59" t="s">
        <v>225</v>
      </c>
      <c r="H94" s="16" t="s">
        <v>231</v>
      </c>
      <c r="I94" s="62" t="s">
        <v>204</v>
      </c>
      <c r="J94" s="62" t="s">
        <v>204</v>
      </c>
      <c r="K94" s="52" t="s">
        <v>91</v>
      </c>
      <c r="L94" s="16"/>
      <c r="M94" s="103">
        <v>23</v>
      </c>
      <c r="N94" s="103">
        <v>23</v>
      </c>
      <c r="O94" s="103">
        <v>21</v>
      </c>
      <c r="P94" s="102">
        <v>25</v>
      </c>
      <c r="Q94" s="102">
        <v>22</v>
      </c>
      <c r="R94" s="102">
        <v>18</v>
      </c>
    </row>
    <row r="95" spans="1:18" ht="15.75">
      <c r="A95" s="33">
        <v>93</v>
      </c>
      <c r="B95" s="16" t="s">
        <v>220</v>
      </c>
      <c r="C95" s="54" t="s">
        <v>175</v>
      </c>
      <c r="D95" t="str">
        <f>"2009010"</f>
        <v>2009010</v>
      </c>
      <c r="E95" s="16" t="s">
        <v>22</v>
      </c>
      <c r="F95" s="16" t="s">
        <v>27</v>
      </c>
      <c r="G95" s="63" t="s">
        <v>225</v>
      </c>
      <c r="H95" s="16" t="s">
        <v>243</v>
      </c>
      <c r="I95" s="65" t="s">
        <v>210</v>
      </c>
      <c r="J95" s="65" t="s">
        <v>210</v>
      </c>
      <c r="K95" s="52" t="s">
        <v>91</v>
      </c>
      <c r="L95" s="16"/>
      <c r="M95" s="101"/>
      <c r="N95" s="101"/>
      <c r="O95" s="101"/>
      <c r="P95" s="102"/>
      <c r="Q95" s="102"/>
      <c r="R95" s="102" t="s">
        <v>246</v>
      </c>
    </row>
    <row r="96" spans="1:18" ht="15.75">
      <c r="A96" s="33">
        <v>94</v>
      </c>
      <c r="B96" s="16" t="s">
        <v>220</v>
      </c>
      <c r="C96" s="54" t="s">
        <v>164</v>
      </c>
      <c r="D96" t="str">
        <f>"2011010"</f>
        <v>2011010</v>
      </c>
      <c r="E96" s="16" t="s">
        <v>22</v>
      </c>
      <c r="F96" s="16" t="s">
        <v>27</v>
      </c>
      <c r="G96" s="63" t="s">
        <v>225</v>
      </c>
      <c r="H96" s="16" t="s">
        <v>235</v>
      </c>
      <c r="I96" s="62">
        <v>1975</v>
      </c>
      <c r="J96" s="62">
        <v>1975</v>
      </c>
      <c r="K96" s="52" t="s">
        <v>91</v>
      </c>
      <c r="L96" s="16"/>
      <c r="M96" s="103">
        <v>8</v>
      </c>
      <c r="N96" s="103">
        <v>13</v>
      </c>
      <c r="O96" s="103">
        <v>14</v>
      </c>
      <c r="P96" s="102">
        <v>20</v>
      </c>
      <c r="Q96" s="102">
        <v>18</v>
      </c>
      <c r="R96" s="102">
        <v>15</v>
      </c>
    </row>
    <row r="97" spans="1:18" ht="15.75">
      <c r="A97" s="33">
        <v>95</v>
      </c>
      <c r="B97" s="16" t="s">
        <v>220</v>
      </c>
      <c r="C97" s="54" t="s">
        <v>179</v>
      </c>
      <c r="D97" t="str">
        <f>"2041001"</f>
        <v>2041001</v>
      </c>
      <c r="E97" s="16" t="s">
        <v>85</v>
      </c>
      <c r="F97" s="16" t="s">
        <v>27</v>
      </c>
      <c r="G97" s="59" t="s">
        <v>224</v>
      </c>
      <c r="H97" s="16" t="s">
        <v>230</v>
      </c>
      <c r="I97" s="62">
        <v>2000</v>
      </c>
      <c r="J97" s="62">
        <v>2000</v>
      </c>
      <c r="K97" s="52" t="s">
        <v>91</v>
      </c>
      <c r="L97" s="16"/>
      <c r="M97" s="103">
        <v>32</v>
      </c>
      <c r="N97" s="103">
        <v>32</v>
      </c>
      <c r="O97" s="103">
        <v>32</v>
      </c>
      <c r="P97" s="102">
        <v>35</v>
      </c>
      <c r="Q97" s="102">
        <v>43</v>
      </c>
      <c r="R97" s="102">
        <v>50</v>
      </c>
    </row>
    <row r="98" spans="1:18" ht="15.75">
      <c r="A98" s="33">
        <v>96</v>
      </c>
      <c r="B98" s="16" t="s">
        <v>220</v>
      </c>
      <c r="C98" s="54" t="s">
        <v>186</v>
      </c>
      <c r="D98" t="str">
        <f>"2040050"</f>
        <v>2040050</v>
      </c>
      <c r="E98" s="16" t="s">
        <v>86</v>
      </c>
      <c r="F98" s="16" t="s">
        <v>27</v>
      </c>
      <c r="G98" s="67" t="s">
        <v>228</v>
      </c>
      <c r="H98" s="16" t="s">
        <v>234</v>
      </c>
      <c r="I98" s="62" t="s">
        <v>213</v>
      </c>
      <c r="J98" s="62" t="s">
        <v>213</v>
      </c>
      <c r="K98" s="52" t="s">
        <v>91</v>
      </c>
      <c r="L98" s="16"/>
      <c r="M98" s="103">
        <v>42</v>
      </c>
      <c r="N98" s="103">
        <v>33</v>
      </c>
      <c r="O98" s="103">
        <v>34</v>
      </c>
      <c r="P98" s="102">
        <v>48</v>
      </c>
      <c r="Q98" s="102">
        <v>47</v>
      </c>
      <c r="R98" s="102">
        <v>57</v>
      </c>
    </row>
    <row r="99" spans="1:18" ht="15.75">
      <c r="A99" s="33">
        <v>97</v>
      </c>
      <c r="B99" s="16" t="s">
        <v>220</v>
      </c>
      <c r="C99" s="54" t="s">
        <v>181</v>
      </c>
      <c r="D99" t="str">
        <f>"2040040"</f>
        <v>2040040</v>
      </c>
      <c r="E99" s="16" t="s">
        <v>86</v>
      </c>
      <c r="F99" s="16" t="s">
        <v>27</v>
      </c>
      <c r="G99" s="59" t="s">
        <v>224</v>
      </c>
      <c r="H99" s="16" t="s">
        <v>230</v>
      </c>
      <c r="I99" s="62">
        <v>1984</v>
      </c>
      <c r="J99" s="62">
        <v>1984</v>
      </c>
      <c r="K99" s="52" t="s">
        <v>91</v>
      </c>
      <c r="L99" s="16"/>
      <c r="M99" s="103">
        <v>220</v>
      </c>
      <c r="N99" s="103">
        <v>279</v>
      </c>
      <c r="O99" s="103">
        <v>283</v>
      </c>
      <c r="P99" s="102">
        <v>246</v>
      </c>
      <c r="Q99" s="108">
        <v>230</v>
      </c>
      <c r="R99" s="102">
        <v>239</v>
      </c>
    </row>
    <row r="100" spans="1:18" ht="15.75">
      <c r="A100" s="33">
        <v>98</v>
      </c>
      <c r="B100" s="16" t="s">
        <v>220</v>
      </c>
      <c r="C100" s="54" t="s">
        <v>183</v>
      </c>
      <c r="D100" t="str">
        <f>"2040041"</f>
        <v>2040041</v>
      </c>
      <c r="E100" s="16" t="s">
        <v>86</v>
      </c>
      <c r="F100" s="16" t="s">
        <v>27</v>
      </c>
      <c r="G100" s="59" t="s">
        <v>224</v>
      </c>
      <c r="H100" s="16" t="s">
        <v>230</v>
      </c>
      <c r="I100" s="62"/>
      <c r="J100" s="62"/>
      <c r="K100" s="52" t="s">
        <v>91</v>
      </c>
      <c r="L100" s="16"/>
      <c r="M100" s="103">
        <v>255</v>
      </c>
      <c r="N100" s="103">
        <v>241</v>
      </c>
      <c r="O100" s="103">
        <v>195</v>
      </c>
      <c r="P100" s="102">
        <v>520</v>
      </c>
      <c r="Q100" s="102">
        <v>520</v>
      </c>
      <c r="R100" s="102">
        <v>524</v>
      </c>
    </row>
    <row r="101" spans="1:18" ht="15.75">
      <c r="A101" s="33">
        <v>99</v>
      </c>
      <c r="B101" s="16" t="s">
        <v>220</v>
      </c>
      <c r="C101" s="54" t="s">
        <v>184</v>
      </c>
      <c r="D101" t="str">
        <f>"2040042"</f>
        <v>2040042</v>
      </c>
      <c r="E101" s="16" t="s">
        <v>86</v>
      </c>
      <c r="F101" s="16" t="s">
        <v>27</v>
      </c>
      <c r="G101" s="59" t="s">
        <v>224</v>
      </c>
      <c r="H101" s="16" t="s">
        <v>230</v>
      </c>
      <c r="I101" s="62">
        <v>1992</v>
      </c>
      <c r="J101" s="62">
        <v>1992</v>
      </c>
      <c r="K101" s="52" t="s">
        <v>91</v>
      </c>
      <c r="L101" s="16"/>
      <c r="M101" s="103">
        <v>164</v>
      </c>
      <c r="N101" s="103">
        <v>212</v>
      </c>
      <c r="O101" s="103">
        <v>249</v>
      </c>
      <c r="P101" s="102">
        <v>228</v>
      </c>
      <c r="Q101" s="108">
        <v>243</v>
      </c>
      <c r="R101" s="102">
        <v>253</v>
      </c>
    </row>
    <row r="102" spans="1:18" ht="15.75">
      <c r="A102" s="33">
        <v>100</v>
      </c>
      <c r="B102" s="16" t="s">
        <v>220</v>
      </c>
      <c r="C102" s="56" t="s">
        <v>185</v>
      </c>
      <c r="D102" t="str">
        <f>"2050056"</f>
        <v>2050056</v>
      </c>
      <c r="E102" s="16" t="s">
        <v>86</v>
      </c>
      <c r="F102" s="16" t="s">
        <v>27</v>
      </c>
      <c r="G102" s="59" t="s">
        <v>224</v>
      </c>
      <c r="H102" s="16" t="s">
        <v>230</v>
      </c>
      <c r="I102" s="66">
        <v>1973</v>
      </c>
      <c r="J102" s="66">
        <v>1973</v>
      </c>
      <c r="K102" s="52" t="s">
        <v>91</v>
      </c>
      <c r="L102" s="16"/>
      <c r="M102" s="103">
        <v>245</v>
      </c>
      <c r="N102" s="103">
        <v>266</v>
      </c>
      <c r="O102" s="103">
        <v>258</v>
      </c>
      <c r="P102" s="102">
        <v>265</v>
      </c>
      <c r="Q102" s="102">
        <v>261</v>
      </c>
      <c r="R102" s="102">
        <v>289</v>
      </c>
    </row>
    <row r="103" spans="1:18" ht="15.75">
      <c r="A103" s="33">
        <v>101</v>
      </c>
      <c r="B103" s="16" t="s">
        <v>220</v>
      </c>
      <c r="C103" s="56" t="s">
        <v>182</v>
      </c>
      <c r="D103" t="str">
        <f>"2040070"</f>
        <v>2040070</v>
      </c>
      <c r="E103" s="16" t="s">
        <v>86</v>
      </c>
      <c r="F103" s="16" t="s">
        <v>27</v>
      </c>
      <c r="G103" s="63" t="s">
        <v>229</v>
      </c>
      <c r="H103" s="16" t="s">
        <v>229</v>
      </c>
      <c r="I103" s="62">
        <v>1997</v>
      </c>
      <c r="J103" s="62">
        <v>1997</v>
      </c>
      <c r="K103" s="52" t="s">
        <v>91</v>
      </c>
      <c r="L103" s="16"/>
      <c r="M103" s="103">
        <v>73</v>
      </c>
      <c r="N103" s="103">
        <v>82</v>
      </c>
      <c r="O103" s="103">
        <v>89</v>
      </c>
      <c r="P103" s="102">
        <v>94</v>
      </c>
      <c r="Q103" s="102">
        <v>63</v>
      </c>
      <c r="R103" s="102">
        <v>92</v>
      </c>
    </row>
    <row r="104" spans="1:18" ht="15.75">
      <c r="A104" s="33">
        <v>102</v>
      </c>
      <c r="B104" s="16" t="s">
        <v>220</v>
      </c>
      <c r="C104" s="54" t="s">
        <v>180</v>
      </c>
      <c r="D104" t="str">
        <f>"2040045"</f>
        <v>2040045</v>
      </c>
      <c r="E104" s="16" t="s">
        <v>86</v>
      </c>
      <c r="F104" s="16" t="s">
        <v>27</v>
      </c>
      <c r="G104" s="63" t="s">
        <v>227</v>
      </c>
      <c r="H104" s="16" t="s">
        <v>227</v>
      </c>
      <c r="I104" s="62">
        <v>1974</v>
      </c>
      <c r="J104" s="62">
        <v>1974</v>
      </c>
      <c r="K104" s="52" t="s">
        <v>91</v>
      </c>
      <c r="L104" s="16"/>
      <c r="M104" s="103">
        <v>29</v>
      </c>
      <c r="N104" s="103">
        <v>34</v>
      </c>
      <c r="O104" s="103">
        <v>33</v>
      </c>
      <c r="P104" s="102">
        <v>29</v>
      </c>
      <c r="Q104" s="102">
        <v>28</v>
      </c>
      <c r="R104" s="102">
        <v>32</v>
      </c>
    </row>
    <row r="105" spans="1:18" ht="15.75">
      <c r="A105" s="33">
        <v>103</v>
      </c>
      <c r="B105" s="16" t="s">
        <v>220</v>
      </c>
      <c r="C105" s="54" t="s">
        <v>196</v>
      </c>
      <c r="D105" t="str">
        <f>"2064010"</f>
        <v>2064010</v>
      </c>
      <c r="E105" s="16" t="s">
        <v>23</v>
      </c>
      <c r="F105" s="16" t="s">
        <v>27</v>
      </c>
      <c r="G105" s="63" t="s">
        <v>228</v>
      </c>
      <c r="H105" s="16"/>
      <c r="I105" s="66">
        <v>1993</v>
      </c>
      <c r="J105" s="66">
        <v>1993</v>
      </c>
      <c r="K105" s="52" t="s">
        <v>91</v>
      </c>
      <c r="L105" s="16"/>
      <c r="M105" s="103">
        <v>136</v>
      </c>
      <c r="N105" s="103">
        <v>148</v>
      </c>
      <c r="O105" s="103">
        <v>148</v>
      </c>
      <c r="P105" s="102">
        <v>142</v>
      </c>
      <c r="Q105" s="102">
        <v>156</v>
      </c>
      <c r="R105" s="102">
        <v>158</v>
      </c>
    </row>
    <row r="106" spans="1:18" ht="15.75">
      <c r="A106" s="33">
        <v>104</v>
      </c>
      <c r="B106" s="16" t="s">
        <v>220</v>
      </c>
      <c r="C106" s="54" t="s">
        <v>195</v>
      </c>
      <c r="D106" t="str">
        <f>"2044001"</f>
        <v>2044001</v>
      </c>
      <c r="E106" s="16" t="s">
        <v>23</v>
      </c>
      <c r="F106" s="16" t="s">
        <v>27</v>
      </c>
      <c r="G106" s="59" t="s">
        <v>224</v>
      </c>
      <c r="H106" s="16" t="s">
        <v>230</v>
      </c>
      <c r="I106" s="62">
        <v>2004</v>
      </c>
      <c r="J106" s="62">
        <v>2004</v>
      </c>
      <c r="K106" s="52" t="s">
        <v>91</v>
      </c>
      <c r="L106" s="16"/>
      <c r="M106" s="103">
        <v>163</v>
      </c>
      <c r="N106" s="103">
        <v>172</v>
      </c>
      <c r="O106" s="103">
        <v>217</v>
      </c>
      <c r="P106" s="102">
        <v>196</v>
      </c>
      <c r="Q106" s="102">
        <v>182</v>
      </c>
      <c r="R106" s="102">
        <v>170</v>
      </c>
    </row>
    <row r="107" spans="1:18" ht="75">
      <c r="A107" s="33">
        <v>105</v>
      </c>
      <c r="B107" s="16" t="s">
        <v>220</v>
      </c>
      <c r="C107" s="56" t="s">
        <v>193</v>
      </c>
      <c r="D107" t="str">
        <f>"2051001"</f>
        <v>2051001</v>
      </c>
      <c r="E107" s="16" t="s">
        <v>23</v>
      </c>
      <c r="F107" s="16" t="s">
        <v>27</v>
      </c>
      <c r="G107" s="59" t="s">
        <v>224</v>
      </c>
      <c r="H107" s="16" t="s">
        <v>230</v>
      </c>
      <c r="I107" s="62" t="s">
        <v>215</v>
      </c>
      <c r="J107" s="62" t="s">
        <v>215</v>
      </c>
      <c r="K107" s="52" t="s">
        <v>91</v>
      </c>
      <c r="L107" s="16"/>
      <c r="M107" s="103">
        <v>208</v>
      </c>
      <c r="N107" s="103">
        <v>207</v>
      </c>
      <c r="O107" s="103">
        <v>224</v>
      </c>
      <c r="P107" s="102">
        <v>224</v>
      </c>
      <c r="Q107" s="102">
        <v>222</v>
      </c>
      <c r="R107" s="102">
        <v>219</v>
      </c>
    </row>
    <row r="108" spans="1:18" ht="15.75">
      <c r="A108" s="33">
        <v>106</v>
      </c>
      <c r="B108" s="16" t="s">
        <v>220</v>
      </c>
      <c r="C108" s="54" t="s">
        <v>194</v>
      </c>
      <c r="D108" t="str">
        <f>"2051009"</f>
        <v>2051009</v>
      </c>
      <c r="E108" s="16" t="s">
        <v>23</v>
      </c>
      <c r="F108" s="16" t="s">
        <v>27</v>
      </c>
      <c r="G108" s="59" t="s">
        <v>224</v>
      </c>
      <c r="H108" s="16" t="s">
        <v>230</v>
      </c>
      <c r="I108" s="62">
        <v>1984</v>
      </c>
      <c r="J108" s="62">
        <v>1984</v>
      </c>
      <c r="K108" s="52" t="s">
        <v>91</v>
      </c>
      <c r="L108" s="16"/>
      <c r="M108" s="103">
        <v>217</v>
      </c>
      <c r="N108" s="103">
        <v>195</v>
      </c>
      <c r="O108" s="103">
        <v>190</v>
      </c>
      <c r="P108" s="102">
        <v>179</v>
      </c>
      <c r="Q108" s="102">
        <v>194</v>
      </c>
      <c r="R108" s="102">
        <v>215</v>
      </c>
    </row>
    <row r="109" spans="1:18" ht="15.75">
      <c r="A109" s="33">
        <v>107</v>
      </c>
      <c r="B109" s="16" t="s">
        <v>220</v>
      </c>
      <c r="C109" s="54" t="s">
        <v>188</v>
      </c>
      <c r="D109" t="str">
        <f>"2051010"</f>
        <v>2051010</v>
      </c>
      <c r="E109" s="16" t="s">
        <v>23</v>
      </c>
      <c r="F109" s="16" t="s">
        <v>27</v>
      </c>
      <c r="G109" s="59" t="s">
        <v>224</v>
      </c>
      <c r="H109" s="16" t="s">
        <v>230</v>
      </c>
      <c r="I109" s="64">
        <v>30090</v>
      </c>
      <c r="J109" s="64">
        <v>30090</v>
      </c>
      <c r="K109" s="52" t="s">
        <v>91</v>
      </c>
      <c r="L109" s="16"/>
      <c r="M109" s="103">
        <v>301</v>
      </c>
      <c r="N109" s="103">
        <v>258</v>
      </c>
      <c r="O109" s="103">
        <v>209</v>
      </c>
      <c r="P109" s="102">
        <v>181</v>
      </c>
      <c r="Q109" s="102">
        <v>209</v>
      </c>
      <c r="R109" s="102">
        <v>211</v>
      </c>
    </row>
    <row r="110" spans="1:18" ht="15.75">
      <c r="A110" s="33">
        <v>108</v>
      </c>
      <c r="B110" s="16" t="s">
        <v>220</v>
      </c>
      <c r="C110" s="54" t="s">
        <v>189</v>
      </c>
      <c r="D110" t="str">
        <f>"2051020"</f>
        <v>2051020</v>
      </c>
      <c r="E110" s="16" t="s">
        <v>23</v>
      </c>
      <c r="F110" s="16" t="s">
        <v>27</v>
      </c>
      <c r="G110" s="59" t="s">
        <v>224</v>
      </c>
      <c r="H110" s="16" t="s">
        <v>230</v>
      </c>
      <c r="I110" s="62" t="s">
        <v>214</v>
      </c>
      <c r="J110" s="62" t="s">
        <v>214</v>
      </c>
      <c r="K110" s="52" t="s">
        <v>91</v>
      </c>
      <c r="L110" s="16"/>
      <c r="M110" s="103">
        <v>208</v>
      </c>
      <c r="N110" s="103">
        <v>225</v>
      </c>
      <c r="O110" s="103">
        <v>249</v>
      </c>
      <c r="P110" s="102">
        <v>208</v>
      </c>
      <c r="Q110" s="102">
        <v>190</v>
      </c>
      <c r="R110" s="102">
        <v>219</v>
      </c>
    </row>
    <row r="111" spans="1:18" ht="30">
      <c r="A111" s="33">
        <v>109</v>
      </c>
      <c r="B111" s="16" t="s">
        <v>220</v>
      </c>
      <c r="C111" s="54" t="s">
        <v>190</v>
      </c>
      <c r="D111" t="str">
        <f>"2051021"</f>
        <v>2051021</v>
      </c>
      <c r="E111" s="16" t="s">
        <v>23</v>
      </c>
      <c r="F111" s="16" t="s">
        <v>27</v>
      </c>
      <c r="G111" s="59" t="s">
        <v>224</v>
      </c>
      <c r="H111" s="16" t="s">
        <v>230</v>
      </c>
      <c r="I111" s="62">
        <v>1995</v>
      </c>
      <c r="J111" s="62">
        <v>1995</v>
      </c>
      <c r="K111" s="52" t="s">
        <v>91</v>
      </c>
      <c r="L111" s="16"/>
      <c r="M111" s="103">
        <v>251</v>
      </c>
      <c r="N111" s="103">
        <v>251</v>
      </c>
      <c r="O111" s="103">
        <v>277</v>
      </c>
      <c r="P111" s="102">
        <v>291</v>
      </c>
      <c r="Q111" s="102">
        <v>287</v>
      </c>
      <c r="R111" s="102">
        <v>281</v>
      </c>
    </row>
    <row r="112" spans="1:18" ht="30">
      <c r="A112" s="33">
        <v>110</v>
      </c>
      <c r="B112" s="16" t="s">
        <v>220</v>
      </c>
      <c r="C112" s="54" t="s">
        <v>203</v>
      </c>
      <c r="D112" t="str">
        <f>"2051030"</f>
        <v>2051030</v>
      </c>
      <c r="E112" s="16" t="s">
        <v>23</v>
      </c>
      <c r="F112" s="16" t="s">
        <v>27</v>
      </c>
      <c r="G112" s="59" t="s">
        <v>224</v>
      </c>
      <c r="H112" s="16" t="s">
        <v>230</v>
      </c>
      <c r="I112" s="65" t="s">
        <v>218</v>
      </c>
      <c r="J112" s="65" t="s">
        <v>218</v>
      </c>
      <c r="K112" s="52" t="s">
        <v>91</v>
      </c>
      <c r="L112" s="16"/>
      <c r="M112" s="103">
        <v>298</v>
      </c>
      <c r="N112" s="103">
        <v>278</v>
      </c>
      <c r="O112" s="103">
        <v>286</v>
      </c>
      <c r="P112" s="102">
        <v>296</v>
      </c>
      <c r="Q112" s="102">
        <v>298</v>
      </c>
      <c r="R112" s="102">
        <v>293</v>
      </c>
    </row>
    <row r="113" spans="1:18" ht="15.75">
      <c r="A113" s="33">
        <v>111</v>
      </c>
      <c r="B113" s="16" t="s">
        <v>220</v>
      </c>
      <c r="C113" s="54" t="s">
        <v>191</v>
      </c>
      <c r="D113" t="str">
        <f>"2051040"</f>
        <v>2051040</v>
      </c>
      <c r="E113" s="16" t="s">
        <v>23</v>
      </c>
      <c r="F113" s="16" t="s">
        <v>27</v>
      </c>
      <c r="G113" s="59" t="s">
        <v>224</v>
      </c>
      <c r="H113" s="16" t="s">
        <v>230</v>
      </c>
      <c r="I113" s="62">
        <v>1938</v>
      </c>
      <c r="J113" s="62">
        <v>1938</v>
      </c>
      <c r="K113" s="52" t="s">
        <v>91</v>
      </c>
      <c r="L113" s="16"/>
      <c r="M113" s="103">
        <v>231</v>
      </c>
      <c r="N113" s="103">
        <v>224</v>
      </c>
      <c r="O113" s="103">
        <v>251</v>
      </c>
      <c r="P113" s="102">
        <v>261</v>
      </c>
      <c r="Q113" s="102">
        <v>255</v>
      </c>
      <c r="R113" s="102">
        <v>252</v>
      </c>
    </row>
    <row r="114" spans="1:18" ht="15.75">
      <c r="A114" s="33">
        <v>112</v>
      </c>
      <c r="B114" s="16" t="s">
        <v>220</v>
      </c>
      <c r="C114" s="54" t="s">
        <v>198</v>
      </c>
      <c r="D114" t="str">
        <f>"2051060"</f>
        <v>2051060</v>
      </c>
      <c r="E114" s="16" t="s">
        <v>23</v>
      </c>
      <c r="F114" s="16" t="s">
        <v>27</v>
      </c>
      <c r="G114" s="59" t="s">
        <v>224</v>
      </c>
      <c r="H114" s="16" t="s">
        <v>222</v>
      </c>
      <c r="I114" s="62" t="s">
        <v>216</v>
      </c>
      <c r="J114" s="62" t="s">
        <v>216</v>
      </c>
      <c r="K114" s="52" t="s">
        <v>91</v>
      </c>
      <c r="L114" s="16"/>
      <c r="M114" s="103">
        <v>216</v>
      </c>
      <c r="N114" s="103">
        <v>207</v>
      </c>
      <c r="O114" s="103">
        <v>221</v>
      </c>
      <c r="P114" s="102">
        <v>239</v>
      </c>
      <c r="Q114" s="102">
        <v>268</v>
      </c>
      <c r="R114" s="102">
        <v>297</v>
      </c>
    </row>
    <row r="115" spans="1:18" ht="15.75">
      <c r="A115" s="33">
        <v>113</v>
      </c>
      <c r="B115" s="16" t="s">
        <v>220</v>
      </c>
      <c r="C115" s="54" t="s">
        <v>202</v>
      </c>
      <c r="D115" t="str">
        <f>"2051061"</f>
        <v>2051061</v>
      </c>
      <c r="E115" s="16" t="s">
        <v>23</v>
      </c>
      <c r="F115" s="16" t="s">
        <v>27</v>
      </c>
      <c r="G115" s="59" t="s">
        <v>224</v>
      </c>
      <c r="H115" s="16" t="s">
        <v>239</v>
      </c>
      <c r="I115" s="60"/>
      <c r="J115" s="59"/>
      <c r="K115" s="52" t="s">
        <v>91</v>
      </c>
      <c r="L115" s="16"/>
      <c r="M115" s="103">
        <v>108</v>
      </c>
      <c r="N115" s="103">
        <v>115</v>
      </c>
      <c r="O115" s="103">
        <v>136</v>
      </c>
      <c r="P115" s="102">
        <v>148</v>
      </c>
      <c r="Q115" s="102">
        <v>149</v>
      </c>
      <c r="R115" s="102">
        <v>150</v>
      </c>
    </row>
    <row r="116" spans="1:18" ht="15.75">
      <c r="A116" s="33">
        <v>114</v>
      </c>
      <c r="B116" s="16" t="s">
        <v>220</v>
      </c>
      <c r="C116" s="54" t="s">
        <v>192</v>
      </c>
      <c r="D116" t="str">
        <f>"2051070"</f>
        <v>2051070</v>
      </c>
      <c r="E116" s="16" t="s">
        <v>23</v>
      </c>
      <c r="F116" s="16" t="s">
        <v>27</v>
      </c>
      <c r="G116" s="59" t="s">
        <v>224</v>
      </c>
      <c r="H116" s="16" t="s">
        <v>230</v>
      </c>
      <c r="I116" s="62">
        <v>1932</v>
      </c>
      <c r="J116" s="62">
        <v>1932</v>
      </c>
      <c r="K116" s="52" t="s">
        <v>139</v>
      </c>
      <c r="L116" s="16"/>
      <c r="M116" s="103">
        <v>217</v>
      </c>
      <c r="N116" s="103">
        <v>236</v>
      </c>
      <c r="O116" s="103">
        <v>273</v>
      </c>
      <c r="P116" s="102">
        <v>302</v>
      </c>
      <c r="Q116" s="102">
        <v>298</v>
      </c>
      <c r="R116" s="102">
        <v>293</v>
      </c>
    </row>
    <row r="117" spans="1:18" ht="15.75">
      <c r="A117" s="33">
        <v>115</v>
      </c>
      <c r="B117" s="16" t="s">
        <v>220</v>
      </c>
      <c r="C117" s="54" t="s">
        <v>200</v>
      </c>
      <c r="D117" t="str">
        <f>"2062010"</f>
        <v>2062010</v>
      </c>
      <c r="E117" s="16" t="s">
        <v>23</v>
      </c>
      <c r="F117" s="16" t="s">
        <v>27</v>
      </c>
      <c r="G117" s="59" t="s">
        <v>224</v>
      </c>
      <c r="H117" s="16" t="s">
        <v>240</v>
      </c>
      <c r="I117" s="62">
        <v>1995</v>
      </c>
      <c r="J117" s="62">
        <v>1995</v>
      </c>
      <c r="K117" s="52" t="s">
        <v>91</v>
      </c>
      <c r="L117" s="16"/>
      <c r="M117" s="103">
        <v>163</v>
      </c>
      <c r="N117" s="103">
        <v>164</v>
      </c>
      <c r="O117" s="103">
        <v>149</v>
      </c>
      <c r="P117" s="102">
        <v>158</v>
      </c>
      <c r="Q117" s="102">
        <v>178</v>
      </c>
      <c r="R117" s="102">
        <v>172</v>
      </c>
    </row>
    <row r="118" spans="1:18" ht="15.75">
      <c r="A118" s="33">
        <v>116</v>
      </c>
      <c r="B118" s="16" t="s">
        <v>220</v>
      </c>
      <c r="C118" s="54" t="s">
        <v>197</v>
      </c>
      <c r="D118" t="str">
        <f>"2090041"</f>
        <v>2090041</v>
      </c>
      <c r="E118" s="16" t="s">
        <v>23</v>
      </c>
      <c r="F118" s="16" t="s">
        <v>27</v>
      </c>
      <c r="G118" s="59" t="s">
        <v>224</v>
      </c>
      <c r="H118" s="16" t="s">
        <v>230</v>
      </c>
      <c r="I118" s="62">
        <v>1930</v>
      </c>
      <c r="J118" s="62">
        <v>1930</v>
      </c>
      <c r="K118" s="52" t="s">
        <v>91</v>
      </c>
      <c r="L118" s="16"/>
      <c r="M118" s="103">
        <v>160</v>
      </c>
      <c r="N118" s="103">
        <v>133</v>
      </c>
      <c r="O118" s="103">
        <v>122</v>
      </c>
      <c r="P118" s="102">
        <v>126</v>
      </c>
      <c r="Q118" s="102">
        <v>82</v>
      </c>
      <c r="R118" s="102">
        <v>54</v>
      </c>
    </row>
    <row r="119" spans="1:18" ht="15.75">
      <c r="A119" s="33">
        <v>117</v>
      </c>
      <c r="B119" s="16" t="s">
        <v>220</v>
      </c>
      <c r="C119" s="54" t="s">
        <v>201</v>
      </c>
      <c r="D119" t="str">
        <f>"2054010"</f>
        <v>2054010</v>
      </c>
      <c r="E119" s="16" t="s">
        <v>23</v>
      </c>
      <c r="F119" s="16" t="s">
        <v>27</v>
      </c>
      <c r="G119" s="63" t="s">
        <v>229</v>
      </c>
      <c r="H119" s="16" t="s">
        <v>229</v>
      </c>
      <c r="I119" s="62" t="s">
        <v>217</v>
      </c>
      <c r="J119" s="62" t="s">
        <v>217</v>
      </c>
      <c r="K119" s="52" t="s">
        <v>91</v>
      </c>
      <c r="L119" s="16"/>
      <c r="M119" s="103">
        <v>50</v>
      </c>
      <c r="N119" s="103">
        <v>50</v>
      </c>
      <c r="O119" s="103">
        <v>48</v>
      </c>
      <c r="P119" s="102">
        <v>45</v>
      </c>
      <c r="Q119" s="102">
        <v>41</v>
      </c>
      <c r="R119" s="102">
        <v>40</v>
      </c>
    </row>
    <row r="120" spans="1:18" ht="15.75">
      <c r="A120" s="33">
        <v>118</v>
      </c>
      <c r="B120" s="16" t="s">
        <v>220</v>
      </c>
      <c r="C120" s="54" t="s">
        <v>187</v>
      </c>
      <c r="D120" t="str">
        <f>"2055010"</f>
        <v>2055010</v>
      </c>
      <c r="E120" s="16" t="s">
        <v>23</v>
      </c>
      <c r="F120" s="16" t="s">
        <v>27</v>
      </c>
      <c r="G120" s="63" t="s">
        <v>227</v>
      </c>
      <c r="H120" s="16" t="s">
        <v>227</v>
      </c>
      <c r="I120" s="62">
        <v>1974</v>
      </c>
      <c r="J120" s="62">
        <v>1974</v>
      </c>
      <c r="K120" s="52" t="s">
        <v>91</v>
      </c>
      <c r="L120" s="16"/>
      <c r="M120" s="103">
        <v>73</v>
      </c>
      <c r="N120" s="103">
        <v>78</v>
      </c>
      <c r="O120" s="103">
        <v>77</v>
      </c>
      <c r="P120" s="102">
        <v>72</v>
      </c>
      <c r="Q120" s="102">
        <v>62</v>
      </c>
      <c r="R120" s="102">
        <v>51</v>
      </c>
    </row>
    <row r="121" spans="1:18" ht="15.75">
      <c r="A121" s="33">
        <v>119</v>
      </c>
      <c r="B121" s="16" t="s">
        <v>220</v>
      </c>
      <c r="C121" s="54" t="s">
        <v>199</v>
      </c>
      <c r="D121" t="str">
        <f>"2053010"</f>
        <v>2053010</v>
      </c>
      <c r="E121" s="16" t="s">
        <v>23</v>
      </c>
      <c r="F121" s="16" t="s">
        <v>27</v>
      </c>
      <c r="G121" s="63" t="s">
        <v>225</v>
      </c>
      <c r="H121" s="16" t="s">
        <v>223</v>
      </c>
      <c r="I121" s="62">
        <v>1964</v>
      </c>
      <c r="J121" s="62">
        <v>1964</v>
      </c>
      <c r="K121" s="52" t="s">
        <v>91</v>
      </c>
      <c r="L121" s="16"/>
      <c r="M121" s="103">
        <v>60</v>
      </c>
      <c r="N121" s="103">
        <v>44</v>
      </c>
      <c r="O121" s="103">
        <v>53</v>
      </c>
      <c r="P121" s="102">
        <v>43</v>
      </c>
      <c r="Q121" s="102">
        <v>45</v>
      </c>
      <c r="R121" s="102">
        <v>45</v>
      </c>
    </row>
    <row r="122" spans="1:18" ht="15.75">
      <c r="A122" s="33">
        <v>120</v>
      </c>
      <c r="B122" s="16" t="s">
        <v>220</v>
      </c>
      <c r="C122" s="54" t="s">
        <v>177</v>
      </c>
      <c r="D122" s="116" t="str">
        <f>"2001035"</f>
        <v>2001035</v>
      </c>
      <c r="E122" s="16" t="s">
        <v>221</v>
      </c>
      <c r="F122" s="16" t="s">
        <v>27</v>
      </c>
      <c r="G122" s="59" t="s">
        <v>224</v>
      </c>
      <c r="H122" s="16" t="s">
        <v>230</v>
      </c>
      <c r="I122" s="62">
        <v>1950</v>
      </c>
      <c r="J122" s="62">
        <v>1950</v>
      </c>
      <c r="K122" s="52" t="s">
        <v>91</v>
      </c>
      <c r="L122" s="16"/>
      <c r="M122" s="103">
        <v>173</v>
      </c>
      <c r="N122" s="103">
        <v>181</v>
      </c>
      <c r="O122" s="103">
        <v>206</v>
      </c>
      <c r="P122" s="102">
        <v>212</v>
      </c>
      <c r="Q122" s="102">
        <v>229</v>
      </c>
      <c r="R122" s="102">
        <v>250</v>
      </c>
    </row>
    <row r="123" spans="1:18" ht="15.75">
      <c r="A123" s="33">
        <v>121</v>
      </c>
      <c r="B123" s="16" t="s">
        <v>282</v>
      </c>
      <c r="C123" s="52" t="s">
        <v>263</v>
      </c>
      <c r="D123" t="str">
        <f>"4002010"</f>
        <v>4002010</v>
      </c>
      <c r="E123" s="52" t="s">
        <v>22</v>
      </c>
      <c r="F123" s="16" t="s">
        <v>28</v>
      </c>
      <c r="G123" s="52" t="s">
        <v>283</v>
      </c>
      <c r="H123" s="16" t="s">
        <v>286</v>
      </c>
      <c r="I123" s="29">
        <v>1971</v>
      </c>
      <c r="J123" s="73" t="s">
        <v>39</v>
      </c>
      <c r="K123" s="52" t="s">
        <v>91</v>
      </c>
      <c r="L123" s="16"/>
      <c r="M123" s="103">
        <v>71</v>
      </c>
      <c r="N123" s="103">
        <v>77</v>
      </c>
      <c r="O123" s="103">
        <v>75</v>
      </c>
      <c r="P123" s="106">
        <v>88</v>
      </c>
      <c r="Q123" s="106">
        <v>83</v>
      </c>
      <c r="R123" s="106">
        <v>84</v>
      </c>
    </row>
    <row r="124" spans="1:18" ht="15.75">
      <c r="A124" s="33">
        <v>122</v>
      </c>
      <c r="B124" s="16" t="s">
        <v>282</v>
      </c>
      <c r="C124" s="52" t="s">
        <v>256</v>
      </c>
      <c r="D124" t="str">
        <f>"4004010"</f>
        <v>4004010</v>
      </c>
      <c r="E124" s="52" t="s">
        <v>22</v>
      </c>
      <c r="F124" s="16" t="s">
        <v>28</v>
      </c>
      <c r="G124" s="52" t="s">
        <v>283</v>
      </c>
      <c r="H124" s="16" t="s">
        <v>285</v>
      </c>
      <c r="I124" s="29">
        <v>1980</v>
      </c>
      <c r="J124" s="70" t="s">
        <v>39</v>
      </c>
      <c r="K124" s="52" t="s">
        <v>91</v>
      </c>
      <c r="L124" s="16"/>
      <c r="M124" s="103">
        <v>186</v>
      </c>
      <c r="N124" s="103">
        <v>205</v>
      </c>
      <c r="O124" s="103">
        <v>178</v>
      </c>
      <c r="P124" s="106">
        <v>177</v>
      </c>
      <c r="Q124" s="106">
        <v>185</v>
      </c>
      <c r="R124" s="106">
        <v>179</v>
      </c>
    </row>
    <row r="125" spans="1:18" ht="15.75">
      <c r="A125" s="33">
        <v>123</v>
      </c>
      <c r="B125" s="16" t="s">
        <v>282</v>
      </c>
      <c r="C125" s="52" t="s">
        <v>259</v>
      </c>
      <c r="D125" t="str">
        <f>"4004020"</f>
        <v>4004020</v>
      </c>
      <c r="E125" s="52" t="s">
        <v>22</v>
      </c>
      <c r="F125" s="16" t="s">
        <v>28</v>
      </c>
      <c r="G125" s="52" t="s">
        <v>283</v>
      </c>
      <c r="H125" s="16" t="s">
        <v>285</v>
      </c>
      <c r="I125" s="29">
        <v>1980</v>
      </c>
      <c r="J125" s="70" t="s">
        <v>39</v>
      </c>
      <c r="K125" s="52" t="s">
        <v>91</v>
      </c>
      <c r="L125" s="16"/>
      <c r="M125" s="103">
        <v>195</v>
      </c>
      <c r="N125" s="103">
        <v>195</v>
      </c>
      <c r="O125" s="103">
        <v>174</v>
      </c>
      <c r="P125" s="106">
        <v>183</v>
      </c>
      <c r="Q125" s="106">
        <v>175</v>
      </c>
      <c r="R125" s="106">
        <v>173</v>
      </c>
    </row>
    <row r="126" spans="1:18" ht="15.75">
      <c r="A126" s="33">
        <v>124</v>
      </c>
      <c r="B126" s="16" t="s">
        <v>282</v>
      </c>
      <c r="C126" s="52" t="s">
        <v>266</v>
      </c>
      <c r="D126" t="str">
        <f>"4003010"</f>
        <v>4003010</v>
      </c>
      <c r="E126" s="52" t="s">
        <v>22</v>
      </c>
      <c r="F126" s="16" t="s">
        <v>28</v>
      </c>
      <c r="G126" s="52" t="s">
        <v>284</v>
      </c>
      <c r="H126" s="16" t="s">
        <v>284</v>
      </c>
      <c r="I126" s="29">
        <v>1962</v>
      </c>
      <c r="J126" s="74" t="s">
        <v>291</v>
      </c>
      <c r="K126" s="52" t="s">
        <v>91</v>
      </c>
      <c r="L126" s="16"/>
      <c r="M126" s="103">
        <v>120</v>
      </c>
      <c r="N126" s="103">
        <v>108</v>
      </c>
      <c r="O126" s="103">
        <v>111</v>
      </c>
      <c r="P126" s="106">
        <v>107</v>
      </c>
      <c r="Q126" s="106">
        <v>106</v>
      </c>
      <c r="R126" s="106">
        <v>95</v>
      </c>
    </row>
    <row r="127" spans="1:18" ht="15.75">
      <c r="A127" s="33">
        <v>125</v>
      </c>
      <c r="B127" s="16" t="s">
        <v>282</v>
      </c>
      <c r="C127" s="52" t="s">
        <v>264</v>
      </c>
      <c r="D127" t="str">
        <f>"4006010"</f>
        <v>4006010</v>
      </c>
      <c r="E127" s="52" t="s">
        <v>22</v>
      </c>
      <c r="F127" s="16" t="s">
        <v>28</v>
      </c>
      <c r="G127" s="52" t="s">
        <v>284</v>
      </c>
      <c r="H127" s="16" t="s">
        <v>287</v>
      </c>
      <c r="I127" s="29">
        <v>1979</v>
      </c>
      <c r="J127" s="70" t="s">
        <v>39</v>
      </c>
      <c r="K127" s="52" t="s">
        <v>91</v>
      </c>
      <c r="L127" s="16"/>
      <c r="M127" s="103">
        <v>180</v>
      </c>
      <c r="N127" s="103">
        <v>163</v>
      </c>
      <c r="O127" s="103">
        <v>154</v>
      </c>
      <c r="P127" s="106">
        <v>144</v>
      </c>
      <c r="Q127" s="106">
        <v>157</v>
      </c>
      <c r="R127" s="106">
        <v>163</v>
      </c>
    </row>
    <row r="128" spans="1:18" ht="15.75">
      <c r="A128" s="33">
        <v>126</v>
      </c>
      <c r="B128" s="16" t="s">
        <v>282</v>
      </c>
      <c r="C128" s="52" t="s">
        <v>267</v>
      </c>
      <c r="D128" t="str">
        <f>"4001005"</f>
        <v>4001005</v>
      </c>
      <c r="E128" s="52" t="s">
        <v>22</v>
      </c>
      <c r="F128" s="16" t="s">
        <v>28</v>
      </c>
      <c r="G128" s="52" t="s">
        <v>28</v>
      </c>
      <c r="H128" s="16" t="s">
        <v>28</v>
      </c>
      <c r="I128" s="29">
        <v>1990</v>
      </c>
      <c r="J128" s="70" t="s">
        <v>39</v>
      </c>
      <c r="K128" s="52" t="s">
        <v>91</v>
      </c>
      <c r="L128" s="16"/>
      <c r="M128" s="103">
        <v>36</v>
      </c>
      <c r="N128" s="103">
        <v>35</v>
      </c>
      <c r="O128" s="103">
        <v>39</v>
      </c>
      <c r="P128" s="110">
        <v>32</v>
      </c>
      <c r="Q128" s="110">
        <v>26</v>
      </c>
      <c r="R128" s="110">
        <v>35</v>
      </c>
    </row>
    <row r="129" spans="1:18" ht="15.75">
      <c r="A129" s="33">
        <v>127</v>
      </c>
      <c r="B129" s="16" t="s">
        <v>282</v>
      </c>
      <c r="C129" s="52" t="s">
        <v>257</v>
      </c>
      <c r="D129" t="str">
        <f>"4001010"</f>
        <v>4001010</v>
      </c>
      <c r="E129" s="52" t="s">
        <v>22</v>
      </c>
      <c r="F129" s="16" t="s">
        <v>28</v>
      </c>
      <c r="G129" s="52" t="s">
        <v>28</v>
      </c>
      <c r="H129" s="16" t="s">
        <v>28</v>
      </c>
      <c r="I129" s="29">
        <v>1915</v>
      </c>
      <c r="J129" s="71" t="s">
        <v>40</v>
      </c>
      <c r="K129" s="52" t="s">
        <v>91</v>
      </c>
      <c r="L129" s="16"/>
      <c r="M129" s="103">
        <v>172</v>
      </c>
      <c r="N129" s="103">
        <v>164</v>
      </c>
      <c r="O129" s="103">
        <v>158</v>
      </c>
      <c r="P129" s="106">
        <v>145</v>
      </c>
      <c r="Q129" s="106">
        <v>144</v>
      </c>
      <c r="R129" s="106">
        <v>158</v>
      </c>
    </row>
    <row r="130" spans="1:18" ht="15.75">
      <c r="A130" s="33">
        <v>128</v>
      </c>
      <c r="B130" s="16" t="s">
        <v>282</v>
      </c>
      <c r="C130" s="52" t="s">
        <v>258</v>
      </c>
      <c r="D130" t="str">
        <f>"4001020"</f>
        <v>4001020</v>
      </c>
      <c r="E130" s="52" t="s">
        <v>22</v>
      </c>
      <c r="F130" s="16" t="s">
        <v>28</v>
      </c>
      <c r="G130" s="52" t="s">
        <v>28</v>
      </c>
      <c r="H130" s="16" t="s">
        <v>28</v>
      </c>
      <c r="I130" s="29">
        <v>1980</v>
      </c>
      <c r="J130" s="70" t="s">
        <v>39</v>
      </c>
      <c r="K130" s="52" t="s">
        <v>91</v>
      </c>
      <c r="L130" s="16"/>
      <c r="M130" s="103">
        <v>194</v>
      </c>
      <c r="N130" s="103">
        <v>205</v>
      </c>
      <c r="O130" s="103">
        <v>200</v>
      </c>
      <c r="P130" s="106">
        <v>207</v>
      </c>
      <c r="Q130" s="106">
        <v>187</v>
      </c>
      <c r="R130" s="106">
        <v>184</v>
      </c>
    </row>
    <row r="131" spans="1:18" ht="15.75">
      <c r="A131" s="33">
        <v>129</v>
      </c>
      <c r="B131" s="16" t="s">
        <v>282</v>
      </c>
      <c r="C131" s="52" t="s">
        <v>260</v>
      </c>
      <c r="D131" t="str">
        <f>"4001030"</f>
        <v>4001030</v>
      </c>
      <c r="E131" s="52" t="s">
        <v>22</v>
      </c>
      <c r="F131" s="16" t="s">
        <v>28</v>
      </c>
      <c r="G131" s="52" t="s">
        <v>28</v>
      </c>
      <c r="H131" s="16" t="s">
        <v>28</v>
      </c>
      <c r="I131" s="91"/>
      <c r="J131" s="71" t="s">
        <v>39</v>
      </c>
      <c r="K131" s="52" t="s">
        <v>91</v>
      </c>
      <c r="L131" s="16"/>
      <c r="M131" s="103">
        <v>196</v>
      </c>
      <c r="N131" s="103">
        <v>202</v>
      </c>
      <c r="O131" s="103">
        <v>203</v>
      </c>
      <c r="P131" s="106">
        <v>209</v>
      </c>
      <c r="Q131" s="106">
        <v>186</v>
      </c>
      <c r="R131" s="106">
        <v>181</v>
      </c>
    </row>
    <row r="132" spans="1:18" ht="15.75">
      <c r="A132" s="33">
        <v>130</v>
      </c>
      <c r="B132" s="16" t="s">
        <v>282</v>
      </c>
      <c r="C132" s="52" t="s">
        <v>261</v>
      </c>
      <c r="D132" t="str">
        <f>"4001035"</f>
        <v>4001035</v>
      </c>
      <c r="E132" s="52" t="s">
        <v>22</v>
      </c>
      <c r="F132" s="16" t="s">
        <v>28</v>
      </c>
      <c r="G132" s="52" t="s">
        <v>28</v>
      </c>
      <c r="H132" s="16" t="s">
        <v>28</v>
      </c>
      <c r="I132" s="29">
        <v>2006</v>
      </c>
      <c r="J132" s="70" t="s">
        <v>39</v>
      </c>
      <c r="K132" s="52" t="s">
        <v>91</v>
      </c>
      <c r="L132" s="16"/>
      <c r="M132" s="103">
        <v>162</v>
      </c>
      <c r="N132" s="103">
        <v>163</v>
      </c>
      <c r="O132" s="103">
        <v>155</v>
      </c>
      <c r="P132" s="106">
        <v>164</v>
      </c>
      <c r="Q132" s="106">
        <v>169</v>
      </c>
      <c r="R132" s="106">
        <v>174</v>
      </c>
    </row>
    <row r="133" spans="1:18" ht="15.75">
      <c r="A133" s="33">
        <v>131</v>
      </c>
      <c r="B133" s="16" t="s">
        <v>282</v>
      </c>
      <c r="C133" s="52" t="s">
        <v>268</v>
      </c>
      <c r="D133" t="str">
        <f>"4001037"</f>
        <v>4001037</v>
      </c>
      <c r="E133" s="52" t="s">
        <v>22</v>
      </c>
      <c r="F133" s="16" t="s">
        <v>28</v>
      </c>
      <c r="G133" s="52" t="s">
        <v>28</v>
      </c>
      <c r="H133" s="16" t="s">
        <v>28</v>
      </c>
      <c r="I133" s="91"/>
      <c r="J133" s="71" t="s">
        <v>40</v>
      </c>
      <c r="K133" s="52" t="s">
        <v>91</v>
      </c>
      <c r="L133" s="16"/>
      <c r="M133" s="103">
        <v>193</v>
      </c>
      <c r="N133" s="103">
        <v>194</v>
      </c>
      <c r="O133" s="103">
        <v>198</v>
      </c>
      <c r="P133" s="106">
        <v>214</v>
      </c>
      <c r="Q133" s="106">
        <v>227</v>
      </c>
      <c r="R133" s="106">
        <v>228</v>
      </c>
    </row>
    <row r="134" spans="1:18" ht="15.75">
      <c r="A134" s="33">
        <v>132</v>
      </c>
      <c r="B134" s="16" t="s">
        <v>282</v>
      </c>
      <c r="C134" s="52" t="s">
        <v>262</v>
      </c>
      <c r="D134" t="str">
        <f>"4001040"</f>
        <v>4001040</v>
      </c>
      <c r="E134" s="52" t="s">
        <v>22</v>
      </c>
      <c r="F134" s="16" t="s">
        <v>28</v>
      </c>
      <c r="G134" s="52" t="s">
        <v>28</v>
      </c>
      <c r="H134" s="16" t="s">
        <v>290</v>
      </c>
      <c r="I134" s="29">
        <v>1956</v>
      </c>
      <c r="J134" s="72" t="s">
        <v>291</v>
      </c>
      <c r="K134" s="52" t="s">
        <v>91</v>
      </c>
      <c r="L134" s="16"/>
      <c r="M134" s="103">
        <v>88</v>
      </c>
      <c r="N134" s="103">
        <v>69</v>
      </c>
      <c r="O134" s="103">
        <v>85</v>
      </c>
      <c r="P134" s="106">
        <v>86</v>
      </c>
      <c r="Q134" s="106">
        <v>82</v>
      </c>
      <c r="R134" s="106">
        <v>77</v>
      </c>
    </row>
    <row r="135" spans="1:18" ht="15.75">
      <c r="A135" s="33">
        <v>133</v>
      </c>
      <c r="B135" s="16" t="s">
        <v>282</v>
      </c>
      <c r="C135" s="52" t="s">
        <v>265</v>
      </c>
      <c r="D135" t="str">
        <f>"4005010"</f>
        <v>4005010</v>
      </c>
      <c r="E135" s="52" t="s">
        <v>22</v>
      </c>
      <c r="F135" s="16" t="s">
        <v>28</v>
      </c>
      <c r="G135" s="52" t="s">
        <v>28</v>
      </c>
      <c r="H135" s="16" t="s">
        <v>288</v>
      </c>
      <c r="I135" s="29">
        <v>1972</v>
      </c>
      <c r="J135" s="70" t="s">
        <v>39</v>
      </c>
      <c r="K135" s="52" t="s">
        <v>91</v>
      </c>
      <c r="L135" s="16"/>
      <c r="M135" s="103">
        <v>99</v>
      </c>
      <c r="N135" s="103">
        <v>110</v>
      </c>
      <c r="O135" s="103">
        <v>108</v>
      </c>
      <c r="P135" s="106">
        <v>116</v>
      </c>
      <c r="Q135" s="106">
        <v>107</v>
      </c>
      <c r="R135" s="106">
        <v>103</v>
      </c>
    </row>
    <row r="136" spans="1:18" ht="15.75">
      <c r="A136" s="33">
        <v>134</v>
      </c>
      <c r="B136" s="16" t="s">
        <v>282</v>
      </c>
      <c r="C136" s="52" t="s">
        <v>269</v>
      </c>
      <c r="D136" t="str">
        <f>"4041001"</f>
        <v>4041001</v>
      </c>
      <c r="E136" s="52" t="s">
        <v>85</v>
      </c>
      <c r="F136" s="16" t="s">
        <v>28</v>
      </c>
      <c r="G136" s="52" t="s">
        <v>28</v>
      </c>
      <c r="H136" s="16" t="s">
        <v>289</v>
      </c>
      <c r="I136" s="29">
        <v>1950</v>
      </c>
      <c r="J136" s="70" t="s">
        <v>40</v>
      </c>
      <c r="K136" s="52" t="s">
        <v>91</v>
      </c>
      <c r="L136" s="16"/>
      <c r="M136" s="103">
        <v>18</v>
      </c>
      <c r="N136" s="103">
        <v>13</v>
      </c>
      <c r="O136" s="103">
        <v>16</v>
      </c>
      <c r="P136" s="106">
        <v>19</v>
      </c>
      <c r="Q136" s="106">
        <v>22</v>
      </c>
      <c r="R136" s="106">
        <v>22</v>
      </c>
    </row>
    <row r="137" spans="1:18" ht="15.75">
      <c r="A137" s="33">
        <v>135</v>
      </c>
      <c r="B137" s="16" t="s">
        <v>282</v>
      </c>
      <c r="C137" s="52" t="s">
        <v>271</v>
      </c>
      <c r="D137" t="str">
        <f>"4040050"</f>
        <v>4040050</v>
      </c>
      <c r="E137" s="52" t="s">
        <v>86</v>
      </c>
      <c r="F137" s="16" t="s">
        <v>28</v>
      </c>
      <c r="G137" s="52" t="s">
        <v>283</v>
      </c>
      <c r="H137" s="16" t="s">
        <v>285</v>
      </c>
      <c r="I137" s="29">
        <v>1998</v>
      </c>
      <c r="J137" s="70" t="s">
        <v>39</v>
      </c>
      <c r="K137" s="52" t="s">
        <v>91</v>
      </c>
      <c r="L137" s="16"/>
      <c r="M137" s="103">
        <v>187</v>
      </c>
      <c r="N137" s="103">
        <v>223</v>
      </c>
      <c r="O137" s="103">
        <v>237</v>
      </c>
      <c r="P137" s="106">
        <v>245</v>
      </c>
      <c r="Q137" s="106">
        <v>246</v>
      </c>
      <c r="R137" s="106">
        <v>271</v>
      </c>
    </row>
    <row r="138" spans="1:18" ht="15.75">
      <c r="A138" s="33">
        <v>136</v>
      </c>
      <c r="B138" s="16" t="s">
        <v>282</v>
      </c>
      <c r="C138" s="52" t="s">
        <v>272</v>
      </c>
      <c r="D138" t="str">
        <f>"4040060"</f>
        <v>4040060</v>
      </c>
      <c r="E138" s="52" t="s">
        <v>86</v>
      </c>
      <c r="F138" s="16" t="s">
        <v>28</v>
      </c>
      <c r="G138" s="52" t="s">
        <v>284</v>
      </c>
      <c r="H138" s="16" t="s">
        <v>287</v>
      </c>
      <c r="I138" s="29">
        <v>1997</v>
      </c>
      <c r="J138" s="70" t="s">
        <v>39</v>
      </c>
      <c r="K138" s="52" t="s">
        <v>91</v>
      </c>
      <c r="L138" s="16"/>
      <c r="M138" s="103">
        <v>62</v>
      </c>
      <c r="N138" s="103">
        <v>81</v>
      </c>
      <c r="O138" s="103">
        <v>66</v>
      </c>
      <c r="P138" s="109">
        <v>66</v>
      </c>
      <c r="Q138" s="109">
        <v>83</v>
      </c>
      <c r="R138" s="109">
        <v>91</v>
      </c>
    </row>
    <row r="139" spans="1:18" ht="15.75">
      <c r="A139" s="33">
        <v>137</v>
      </c>
      <c r="B139" s="16" t="s">
        <v>282</v>
      </c>
      <c r="C139" s="52" t="s">
        <v>270</v>
      </c>
      <c r="D139" t="str">
        <f>"4040030"</f>
        <v>4040030</v>
      </c>
      <c r="E139" s="52" t="s">
        <v>86</v>
      </c>
      <c r="F139" s="16" t="s">
        <v>28</v>
      </c>
      <c r="G139" s="52" t="s">
        <v>28</v>
      </c>
      <c r="H139" s="16" t="s">
        <v>28</v>
      </c>
      <c r="I139" s="29">
        <v>1980</v>
      </c>
      <c r="J139" s="70" t="s">
        <v>39</v>
      </c>
      <c r="K139" s="52" t="s">
        <v>91</v>
      </c>
      <c r="L139" s="16"/>
      <c r="M139" s="103">
        <v>187</v>
      </c>
      <c r="N139" s="103">
        <v>223</v>
      </c>
      <c r="O139" s="103">
        <v>237</v>
      </c>
      <c r="P139" s="118">
        <v>245</v>
      </c>
      <c r="Q139" s="118">
        <v>246</v>
      </c>
      <c r="R139" s="118">
        <v>271</v>
      </c>
    </row>
    <row r="140" spans="1:18" ht="15.75">
      <c r="A140" s="33">
        <v>138</v>
      </c>
      <c r="B140" s="16" t="s">
        <v>282</v>
      </c>
      <c r="C140" s="52" t="s">
        <v>273</v>
      </c>
      <c r="D140" t="str">
        <f>"4053001"</f>
        <v>4053001</v>
      </c>
      <c r="E140" s="52" t="s">
        <v>86</v>
      </c>
      <c r="F140" s="16" t="s">
        <v>28</v>
      </c>
      <c r="G140" s="52" t="s">
        <v>28</v>
      </c>
      <c r="H140" s="16" t="s">
        <v>28</v>
      </c>
      <c r="I140" s="29">
        <v>1980</v>
      </c>
      <c r="J140" s="70" t="s">
        <v>39</v>
      </c>
      <c r="K140" s="52" t="s">
        <v>91</v>
      </c>
      <c r="L140" s="16"/>
      <c r="M140" s="103">
        <v>73</v>
      </c>
      <c r="N140" s="103">
        <v>89</v>
      </c>
      <c r="O140" s="103">
        <v>97</v>
      </c>
      <c r="P140" s="106">
        <v>106</v>
      </c>
      <c r="Q140" s="106">
        <v>65</v>
      </c>
      <c r="R140" s="106">
        <v>54</v>
      </c>
    </row>
    <row r="141" spans="1:18" ht="15.75">
      <c r="A141" s="33">
        <v>139</v>
      </c>
      <c r="B141" s="16" t="s">
        <v>282</v>
      </c>
      <c r="C141" s="52" t="s">
        <v>277</v>
      </c>
      <c r="D141" t="str">
        <f>"4052010"</f>
        <v>4052010</v>
      </c>
      <c r="E141" s="16" t="s">
        <v>23</v>
      </c>
      <c r="F141" s="16" t="s">
        <v>28</v>
      </c>
      <c r="G141" s="52" t="s">
        <v>283</v>
      </c>
      <c r="H141" s="16" t="s">
        <v>286</v>
      </c>
      <c r="I141" s="29">
        <v>1975</v>
      </c>
      <c r="J141" s="70" t="s">
        <v>39</v>
      </c>
      <c r="K141" s="52" t="s">
        <v>91</v>
      </c>
      <c r="L141" s="16"/>
      <c r="M141" s="103">
        <v>352</v>
      </c>
      <c r="N141" s="103">
        <v>358</v>
      </c>
      <c r="O141" s="103">
        <v>335</v>
      </c>
      <c r="P141" s="106">
        <v>328</v>
      </c>
      <c r="Q141" s="106">
        <v>339</v>
      </c>
      <c r="R141" s="106">
        <v>318</v>
      </c>
    </row>
    <row r="142" spans="1:18" ht="15.75">
      <c r="A142" s="33">
        <v>140</v>
      </c>
      <c r="B142" s="16" t="s">
        <v>282</v>
      </c>
      <c r="C142" s="52" t="s">
        <v>275</v>
      </c>
      <c r="D142" t="str">
        <f>"4054010"</f>
        <v>4054010</v>
      </c>
      <c r="E142" s="16" t="s">
        <v>23</v>
      </c>
      <c r="F142" s="16" t="s">
        <v>28</v>
      </c>
      <c r="G142" s="52" t="s">
        <v>283</v>
      </c>
      <c r="H142" s="16" t="s">
        <v>285</v>
      </c>
      <c r="I142" s="29">
        <v>1985</v>
      </c>
      <c r="J142" s="70" t="s">
        <v>292</v>
      </c>
      <c r="K142" s="52" t="s">
        <v>91</v>
      </c>
      <c r="L142" s="16"/>
      <c r="M142" s="103">
        <v>251</v>
      </c>
      <c r="N142" s="103">
        <v>234</v>
      </c>
      <c r="O142" s="103">
        <v>267</v>
      </c>
      <c r="P142" s="106">
        <v>278</v>
      </c>
      <c r="Q142" s="106">
        <v>257</v>
      </c>
      <c r="R142" s="106">
        <v>243</v>
      </c>
    </row>
    <row r="143" spans="1:18" ht="15.75">
      <c r="A143" s="33">
        <v>141</v>
      </c>
      <c r="B143" s="16" t="s">
        <v>282</v>
      </c>
      <c r="C143" s="52" t="s">
        <v>279</v>
      </c>
      <c r="D143" t="str">
        <f>"4053010"</f>
        <v>4053010</v>
      </c>
      <c r="E143" s="16" t="s">
        <v>23</v>
      </c>
      <c r="F143" s="16" t="s">
        <v>28</v>
      </c>
      <c r="G143" s="52" t="s">
        <v>284</v>
      </c>
      <c r="H143" s="16" t="s">
        <v>284</v>
      </c>
      <c r="I143" s="29">
        <v>1962</v>
      </c>
      <c r="J143" s="70" t="s">
        <v>40</v>
      </c>
      <c r="K143" s="52" t="s">
        <v>91</v>
      </c>
      <c r="L143" s="16"/>
      <c r="M143" s="103">
        <v>80</v>
      </c>
      <c r="N143" s="103">
        <v>82</v>
      </c>
      <c r="O143" s="103">
        <v>79</v>
      </c>
      <c r="P143" s="106">
        <v>82</v>
      </c>
      <c r="Q143" s="106">
        <v>88</v>
      </c>
      <c r="R143" s="106">
        <v>103</v>
      </c>
    </row>
    <row r="144" spans="1:18" ht="15.75">
      <c r="A144" s="33">
        <v>142</v>
      </c>
      <c r="B144" s="16" t="s">
        <v>282</v>
      </c>
      <c r="C144" s="52" t="s">
        <v>281</v>
      </c>
      <c r="D144" t="str">
        <f>"4056010"</f>
        <v>4056010</v>
      </c>
      <c r="E144" s="16" t="s">
        <v>23</v>
      </c>
      <c r="F144" s="16" t="s">
        <v>28</v>
      </c>
      <c r="G144" s="52" t="s">
        <v>284</v>
      </c>
      <c r="H144" s="16" t="s">
        <v>287</v>
      </c>
      <c r="I144" s="29">
        <v>1979</v>
      </c>
      <c r="J144" s="70" t="s">
        <v>39</v>
      </c>
      <c r="K144" s="52" t="s">
        <v>91</v>
      </c>
      <c r="L144" s="16"/>
      <c r="M144" s="103">
        <v>40</v>
      </c>
      <c r="N144" s="103">
        <v>30</v>
      </c>
      <c r="O144" s="103">
        <v>32</v>
      </c>
      <c r="P144" s="106">
        <v>28</v>
      </c>
      <c r="Q144" s="106">
        <v>31</v>
      </c>
      <c r="R144" s="106">
        <v>25</v>
      </c>
    </row>
    <row r="145" spans="1:22" ht="15.75">
      <c r="A145" s="33">
        <v>143</v>
      </c>
      <c r="B145" s="16" t="s">
        <v>282</v>
      </c>
      <c r="C145" s="52" t="s">
        <v>280</v>
      </c>
      <c r="D145" t="str">
        <f>"4051005"</f>
        <v>4051005</v>
      </c>
      <c r="E145" s="16" t="s">
        <v>23</v>
      </c>
      <c r="F145" s="16" t="s">
        <v>28</v>
      </c>
      <c r="G145" s="52" t="s">
        <v>28</v>
      </c>
      <c r="H145" s="16" t="s">
        <v>28</v>
      </c>
      <c r="I145" s="29">
        <v>1990</v>
      </c>
      <c r="J145" s="70" t="s">
        <v>39</v>
      </c>
      <c r="K145" s="52" t="s">
        <v>91</v>
      </c>
      <c r="L145" s="16"/>
      <c r="M145" s="103">
        <v>116</v>
      </c>
      <c r="N145" s="103">
        <v>102</v>
      </c>
      <c r="O145" s="103">
        <v>105</v>
      </c>
      <c r="P145" s="106">
        <v>105</v>
      </c>
      <c r="Q145" s="106">
        <v>104</v>
      </c>
      <c r="R145" s="106">
        <v>103</v>
      </c>
    </row>
    <row r="146" spans="1:22" ht="15.75">
      <c r="A146" s="33">
        <v>144</v>
      </c>
      <c r="B146" s="16" t="s">
        <v>282</v>
      </c>
      <c r="C146" s="52" t="s">
        <v>274</v>
      </c>
      <c r="D146" t="str">
        <f>"4051010"</f>
        <v>4051010</v>
      </c>
      <c r="E146" s="16" t="s">
        <v>23</v>
      </c>
      <c r="F146" s="16" t="s">
        <v>28</v>
      </c>
      <c r="G146" s="52" t="s">
        <v>28</v>
      </c>
      <c r="H146" s="16" t="s">
        <v>28</v>
      </c>
      <c r="I146" s="29">
        <v>1990</v>
      </c>
      <c r="J146" s="70" t="s">
        <v>39</v>
      </c>
      <c r="K146" s="52" t="s">
        <v>91</v>
      </c>
      <c r="L146" s="16"/>
      <c r="M146" s="103">
        <v>55</v>
      </c>
      <c r="N146" s="103">
        <v>58</v>
      </c>
      <c r="O146" s="103">
        <v>63</v>
      </c>
      <c r="P146" s="106">
        <v>193</v>
      </c>
      <c r="Q146" s="106">
        <v>203</v>
      </c>
      <c r="R146" s="106">
        <v>253</v>
      </c>
    </row>
    <row r="147" spans="1:22" ht="15.75">
      <c r="A147" s="33">
        <v>145</v>
      </c>
      <c r="B147" s="16" t="s">
        <v>282</v>
      </c>
      <c r="C147" s="52" t="s">
        <v>276</v>
      </c>
      <c r="D147" t="str">
        <f>"4051020"</f>
        <v>4051020</v>
      </c>
      <c r="E147" s="16" t="s">
        <v>23</v>
      </c>
      <c r="F147" s="16" t="s">
        <v>28</v>
      </c>
      <c r="G147" s="52" t="s">
        <v>28</v>
      </c>
      <c r="H147" s="16" t="s">
        <v>28</v>
      </c>
      <c r="I147" s="29">
        <v>1999</v>
      </c>
      <c r="J147" s="70" t="s">
        <v>39</v>
      </c>
      <c r="K147" s="52" t="s">
        <v>91</v>
      </c>
      <c r="L147" s="16"/>
      <c r="M147" s="103">
        <v>224</v>
      </c>
      <c r="N147" s="103">
        <v>222</v>
      </c>
      <c r="O147" s="103">
        <v>230</v>
      </c>
      <c r="P147" s="106">
        <v>217</v>
      </c>
      <c r="Q147" s="106">
        <v>227</v>
      </c>
      <c r="R147" s="106">
        <v>224</v>
      </c>
    </row>
    <row r="148" spans="1:22" ht="15.75">
      <c r="A148" s="33">
        <v>146</v>
      </c>
      <c r="B148" s="16" t="s">
        <v>282</v>
      </c>
      <c r="C148" s="52" t="s">
        <v>278</v>
      </c>
      <c r="D148" t="str">
        <f>"4055010"</f>
        <v>4055010</v>
      </c>
      <c r="E148" s="16" t="s">
        <v>23</v>
      </c>
      <c r="F148" s="16" t="s">
        <v>28</v>
      </c>
      <c r="G148" s="52" t="s">
        <v>28</v>
      </c>
      <c r="H148" s="16" t="s">
        <v>288</v>
      </c>
      <c r="I148" s="29">
        <v>1994</v>
      </c>
      <c r="J148" s="70" t="s">
        <v>39</v>
      </c>
      <c r="K148" s="52" t="s">
        <v>91</v>
      </c>
      <c r="L148" s="16"/>
      <c r="M148" s="103">
        <v>60</v>
      </c>
      <c r="N148" s="103">
        <v>43</v>
      </c>
      <c r="O148" s="103">
        <v>49</v>
      </c>
      <c r="P148" s="106">
        <v>46</v>
      </c>
      <c r="Q148" s="106">
        <v>52</v>
      </c>
      <c r="R148" s="106">
        <v>58</v>
      </c>
    </row>
    <row r="149" spans="1:22" ht="15.75">
      <c r="A149" s="33">
        <v>147</v>
      </c>
      <c r="B149" s="16" t="s">
        <v>784</v>
      </c>
      <c r="C149" s="52" t="s">
        <v>683</v>
      </c>
      <c r="D149" t="str">
        <f>"9040004"</f>
        <v>9040004</v>
      </c>
      <c r="E149" s="52" t="s">
        <v>467</v>
      </c>
      <c r="F149" s="16" t="s">
        <v>25</v>
      </c>
      <c r="G149" s="52" t="s">
        <v>785</v>
      </c>
      <c r="H149" s="16" t="s">
        <v>25</v>
      </c>
      <c r="I149" s="29">
        <v>1930</v>
      </c>
      <c r="J149" s="29" t="s">
        <v>91</v>
      </c>
      <c r="K149" s="52" t="s">
        <v>91</v>
      </c>
      <c r="L149" s="16"/>
      <c r="M149" s="103">
        <v>202</v>
      </c>
      <c r="N149" s="103">
        <v>192</v>
      </c>
      <c r="O149" s="103">
        <v>179</v>
      </c>
      <c r="P149" s="103">
        <v>191</v>
      </c>
      <c r="Q149" s="103">
        <v>191</v>
      </c>
      <c r="R149" s="103">
        <v>201</v>
      </c>
      <c r="S149" s="78"/>
      <c r="T149" s="78"/>
      <c r="U149" s="78"/>
      <c r="V149" s="78"/>
    </row>
    <row r="150" spans="1:22" ht="15.75">
      <c r="A150" s="33">
        <v>148</v>
      </c>
      <c r="B150" s="16" t="s">
        <v>784</v>
      </c>
      <c r="C150" s="52" t="s">
        <v>687</v>
      </c>
      <c r="D150" t="str">
        <f>"9040008"</f>
        <v>9040008</v>
      </c>
      <c r="E150" s="52" t="s">
        <v>467</v>
      </c>
      <c r="F150" s="16" t="s">
        <v>25</v>
      </c>
      <c r="G150" s="52" t="s">
        <v>785</v>
      </c>
      <c r="H150" s="16" t="s">
        <v>25</v>
      </c>
      <c r="I150" s="29">
        <v>1973</v>
      </c>
      <c r="J150" s="29" t="s">
        <v>91</v>
      </c>
      <c r="K150" s="52" t="s">
        <v>91</v>
      </c>
      <c r="L150" s="16"/>
      <c r="M150" s="103">
        <v>176</v>
      </c>
      <c r="N150" s="103">
        <v>174</v>
      </c>
      <c r="O150" s="103">
        <v>183</v>
      </c>
      <c r="P150" s="103">
        <v>173</v>
      </c>
      <c r="Q150" s="103">
        <v>169</v>
      </c>
      <c r="R150" s="103">
        <v>166</v>
      </c>
      <c r="S150" s="79"/>
      <c r="T150" s="79"/>
      <c r="U150" s="79"/>
      <c r="V150" s="79"/>
    </row>
    <row r="151" spans="1:22" ht="15.75">
      <c r="A151" s="33">
        <v>149</v>
      </c>
      <c r="B151" s="16" t="s">
        <v>784</v>
      </c>
      <c r="C151" s="52" t="s">
        <v>710</v>
      </c>
      <c r="D151" t="str">
        <f>"9040050"</f>
        <v>9040050</v>
      </c>
      <c r="E151" s="52" t="s">
        <v>467</v>
      </c>
      <c r="F151" s="16" t="s">
        <v>25</v>
      </c>
      <c r="G151" s="52" t="s">
        <v>785</v>
      </c>
      <c r="H151" s="16" t="s">
        <v>804</v>
      </c>
      <c r="I151" s="29">
        <v>1935</v>
      </c>
      <c r="J151" s="91" t="s">
        <v>789</v>
      </c>
      <c r="K151" s="52" t="s">
        <v>91</v>
      </c>
      <c r="L151" s="16"/>
      <c r="M151" s="103">
        <v>9</v>
      </c>
      <c r="N151" s="103">
        <v>7</v>
      </c>
      <c r="O151" s="103">
        <v>7</v>
      </c>
      <c r="P151" s="103">
        <v>10</v>
      </c>
      <c r="Q151" s="103">
        <v>10</v>
      </c>
      <c r="R151" s="103">
        <v>5</v>
      </c>
      <c r="S151" s="79"/>
      <c r="T151" s="79"/>
      <c r="U151" s="79"/>
      <c r="V151" s="79"/>
    </row>
    <row r="152" spans="1:22" ht="15.75">
      <c r="A152" s="33">
        <v>150</v>
      </c>
      <c r="B152" s="16" t="s">
        <v>784</v>
      </c>
      <c r="C152" s="52" t="s">
        <v>716</v>
      </c>
      <c r="D152" t="str">
        <f>"9040060"</f>
        <v>9040060</v>
      </c>
      <c r="E152" s="52" t="s">
        <v>467</v>
      </c>
      <c r="F152" s="16" t="s">
        <v>25</v>
      </c>
      <c r="G152" s="52" t="s">
        <v>785</v>
      </c>
      <c r="H152" s="16" t="s">
        <v>809</v>
      </c>
      <c r="I152" s="29">
        <v>1980</v>
      </c>
      <c r="J152" s="29" t="s">
        <v>139</v>
      </c>
      <c r="K152" s="52" t="s">
        <v>91</v>
      </c>
      <c r="L152" s="16"/>
      <c r="M152" s="103">
        <v>165</v>
      </c>
      <c r="N152" s="103">
        <v>158</v>
      </c>
      <c r="O152" s="103">
        <v>135</v>
      </c>
      <c r="P152" s="103">
        <v>138</v>
      </c>
      <c r="Q152" s="103">
        <v>143</v>
      </c>
      <c r="R152" s="103">
        <v>134</v>
      </c>
      <c r="S152" s="79"/>
      <c r="T152" s="79"/>
      <c r="U152" s="79"/>
      <c r="V152" s="79"/>
    </row>
    <row r="153" spans="1:22" ht="15.75">
      <c r="A153" s="33">
        <v>151</v>
      </c>
      <c r="B153" s="16" t="s">
        <v>784</v>
      </c>
      <c r="C153" s="52" t="s">
        <v>681</v>
      </c>
      <c r="D153" t="str">
        <f>"9040101"</f>
        <v>9040101</v>
      </c>
      <c r="E153" s="52" t="s">
        <v>467</v>
      </c>
      <c r="F153" s="16" t="s">
        <v>25</v>
      </c>
      <c r="G153" s="52" t="s">
        <v>785</v>
      </c>
      <c r="H153" s="16" t="s">
        <v>25</v>
      </c>
      <c r="I153" s="91">
        <v>1999</v>
      </c>
      <c r="J153" s="91" t="s">
        <v>789</v>
      </c>
      <c r="K153" s="52" t="s">
        <v>91</v>
      </c>
      <c r="L153" s="16"/>
      <c r="M153" s="103">
        <v>226</v>
      </c>
      <c r="N153" s="103">
        <v>220</v>
      </c>
      <c r="O153" s="103">
        <v>224</v>
      </c>
      <c r="P153" s="103">
        <v>211</v>
      </c>
      <c r="Q153" s="103">
        <v>206</v>
      </c>
      <c r="R153" s="103">
        <v>198</v>
      </c>
      <c r="S153" s="79"/>
      <c r="T153" s="79"/>
      <c r="U153" s="79"/>
      <c r="V153" s="79"/>
    </row>
    <row r="154" spans="1:22" ht="15.75">
      <c r="A154" s="33">
        <v>152</v>
      </c>
      <c r="B154" s="16" t="s">
        <v>784</v>
      </c>
      <c r="C154" s="52" t="s">
        <v>686</v>
      </c>
      <c r="D154" t="str">
        <f>"9040105"</f>
        <v>9040105</v>
      </c>
      <c r="E154" s="52" t="s">
        <v>467</v>
      </c>
      <c r="F154" s="16" t="s">
        <v>25</v>
      </c>
      <c r="G154" s="52" t="s">
        <v>785</v>
      </c>
      <c r="H154" s="16" t="s">
        <v>25</v>
      </c>
      <c r="I154" s="29">
        <v>1978</v>
      </c>
      <c r="J154" s="91" t="s">
        <v>139</v>
      </c>
      <c r="K154" s="52" t="s">
        <v>91</v>
      </c>
      <c r="L154" s="16"/>
      <c r="M154" s="103">
        <v>96</v>
      </c>
      <c r="N154" s="103">
        <v>96</v>
      </c>
      <c r="O154" s="103">
        <v>95</v>
      </c>
      <c r="P154" s="103">
        <v>92</v>
      </c>
      <c r="Q154" s="103">
        <v>91</v>
      </c>
      <c r="R154" s="103">
        <v>98</v>
      </c>
      <c r="S154" s="79"/>
      <c r="T154" s="79"/>
      <c r="U154" s="79"/>
      <c r="V154" s="79"/>
    </row>
    <row r="155" spans="1:22" ht="15.75">
      <c r="A155" s="33">
        <v>153</v>
      </c>
      <c r="B155" s="16" t="s">
        <v>784</v>
      </c>
      <c r="C155" s="52" t="s">
        <v>688</v>
      </c>
      <c r="D155" t="str">
        <f>"9040106"</f>
        <v>9040106</v>
      </c>
      <c r="E155" s="52" t="s">
        <v>467</v>
      </c>
      <c r="F155" s="16" t="s">
        <v>25</v>
      </c>
      <c r="G155" s="52" t="s">
        <v>785</v>
      </c>
      <c r="H155" s="16" t="s">
        <v>25</v>
      </c>
      <c r="I155" s="29">
        <v>2014</v>
      </c>
      <c r="J155" s="29" t="s">
        <v>139</v>
      </c>
      <c r="K155" s="52" t="s">
        <v>91</v>
      </c>
      <c r="L155" s="16"/>
      <c r="M155" s="103">
        <v>289</v>
      </c>
      <c r="N155" s="103">
        <v>281</v>
      </c>
      <c r="O155" s="103">
        <v>274</v>
      </c>
      <c r="P155" s="103">
        <v>273</v>
      </c>
      <c r="Q155" s="103">
        <v>263</v>
      </c>
      <c r="R155" s="103">
        <v>259</v>
      </c>
      <c r="S155" s="79"/>
      <c r="T155" s="79"/>
      <c r="U155" s="79"/>
      <c r="V155" s="79"/>
    </row>
    <row r="156" spans="1:22" ht="15.75">
      <c r="A156" s="33">
        <v>154</v>
      </c>
      <c r="B156" s="16" t="s">
        <v>784</v>
      </c>
      <c r="C156" s="52" t="s">
        <v>690</v>
      </c>
      <c r="D156" t="str">
        <f>"9040108"</f>
        <v>9040108</v>
      </c>
      <c r="E156" s="52" t="s">
        <v>467</v>
      </c>
      <c r="F156" s="16" t="s">
        <v>25</v>
      </c>
      <c r="G156" s="52" t="s">
        <v>785</v>
      </c>
      <c r="H156" s="16" t="s">
        <v>25</v>
      </c>
      <c r="I156" s="29">
        <v>1995</v>
      </c>
      <c r="J156" s="29" t="s">
        <v>139</v>
      </c>
      <c r="K156" s="52" t="s">
        <v>91</v>
      </c>
      <c r="L156" s="16"/>
      <c r="M156" s="103">
        <v>104</v>
      </c>
      <c r="N156" s="103">
        <v>105</v>
      </c>
      <c r="O156" s="103">
        <v>101</v>
      </c>
      <c r="P156" s="103">
        <v>97</v>
      </c>
      <c r="Q156" s="103">
        <v>95</v>
      </c>
      <c r="R156" s="103">
        <v>96</v>
      </c>
      <c r="S156" s="79"/>
      <c r="T156" s="79"/>
      <c r="U156" s="79"/>
      <c r="V156" s="79"/>
    </row>
    <row r="157" spans="1:22" ht="15.75">
      <c r="A157" s="33">
        <v>155</v>
      </c>
      <c r="B157" s="16" t="s">
        <v>784</v>
      </c>
      <c r="C157" s="52" t="s">
        <v>691</v>
      </c>
      <c r="D157" t="str">
        <f>"9040111"</f>
        <v>9040111</v>
      </c>
      <c r="E157" s="52" t="s">
        <v>467</v>
      </c>
      <c r="F157" s="16" t="s">
        <v>25</v>
      </c>
      <c r="G157" s="52" t="s">
        <v>785</v>
      </c>
      <c r="H157" s="16" t="s">
        <v>791</v>
      </c>
      <c r="I157" s="29">
        <v>1954</v>
      </c>
      <c r="J157" s="91" t="s">
        <v>789</v>
      </c>
      <c r="K157" s="52" t="s">
        <v>91</v>
      </c>
      <c r="L157" s="16"/>
      <c r="M157" s="103">
        <v>59</v>
      </c>
      <c r="N157" s="103">
        <v>58</v>
      </c>
      <c r="O157" s="103">
        <v>58</v>
      </c>
      <c r="P157" s="103">
        <v>61</v>
      </c>
      <c r="Q157" s="103">
        <v>53</v>
      </c>
      <c r="R157" s="103">
        <v>54</v>
      </c>
      <c r="S157" s="79"/>
      <c r="T157" s="79"/>
      <c r="U157" s="79"/>
      <c r="V157" s="79"/>
    </row>
    <row r="158" spans="1:22" ht="15.75">
      <c r="A158" s="33">
        <v>156</v>
      </c>
      <c r="B158" s="16" t="s">
        <v>784</v>
      </c>
      <c r="C158" s="52" t="s">
        <v>697</v>
      </c>
      <c r="D158" t="str">
        <f>"9040120"</f>
        <v>9040120</v>
      </c>
      <c r="E158" s="52" t="s">
        <v>467</v>
      </c>
      <c r="F158" s="16" t="s">
        <v>25</v>
      </c>
      <c r="G158" s="52" t="s">
        <v>785</v>
      </c>
      <c r="H158" s="16" t="s">
        <v>797</v>
      </c>
      <c r="I158" s="29">
        <v>1950</v>
      </c>
      <c r="J158" s="91" t="s">
        <v>789</v>
      </c>
      <c r="K158" s="52" t="s">
        <v>91</v>
      </c>
      <c r="L158" s="16"/>
      <c r="M158" s="103">
        <v>19</v>
      </c>
      <c r="N158" s="103">
        <v>21</v>
      </c>
      <c r="O158" s="103">
        <v>19</v>
      </c>
      <c r="P158" s="103">
        <v>17</v>
      </c>
      <c r="Q158" s="103">
        <v>18</v>
      </c>
      <c r="R158" s="103">
        <v>18</v>
      </c>
      <c r="S158" s="79"/>
      <c r="T158" s="80"/>
      <c r="U158" s="79"/>
      <c r="V158" s="79"/>
    </row>
    <row r="159" spans="1:22" ht="15.75">
      <c r="A159" s="33">
        <v>157</v>
      </c>
      <c r="B159" s="16" t="s">
        <v>784</v>
      </c>
      <c r="C159" s="52" t="s">
        <v>698</v>
      </c>
      <c r="D159" t="str">
        <f>"9040122"</f>
        <v>9040122</v>
      </c>
      <c r="E159" s="52" t="s">
        <v>467</v>
      </c>
      <c r="F159" s="16" t="s">
        <v>25</v>
      </c>
      <c r="G159" s="52" t="s">
        <v>785</v>
      </c>
      <c r="H159" s="16" t="s">
        <v>805</v>
      </c>
      <c r="I159" s="29">
        <v>1950</v>
      </c>
      <c r="J159" s="91" t="s">
        <v>789</v>
      </c>
      <c r="K159" s="52" t="s">
        <v>91</v>
      </c>
      <c r="L159" s="16"/>
      <c r="M159" s="103">
        <v>5</v>
      </c>
      <c r="N159" s="103">
        <v>6</v>
      </c>
      <c r="O159" s="104"/>
      <c r="P159" s="103"/>
      <c r="Q159" s="103"/>
      <c r="R159" s="103"/>
      <c r="S159" s="79"/>
      <c r="T159" s="80"/>
      <c r="U159" s="79"/>
      <c r="V159" s="79"/>
    </row>
    <row r="160" spans="1:22" ht="15.75">
      <c r="A160" s="33">
        <v>158</v>
      </c>
      <c r="B160" s="16" t="s">
        <v>784</v>
      </c>
      <c r="C160" s="52" t="s">
        <v>700</v>
      </c>
      <c r="D160" s="116" t="str">
        <f>"9040124"</f>
        <v>9040124</v>
      </c>
      <c r="E160" s="52" t="s">
        <v>467</v>
      </c>
      <c r="F160" s="16" t="s">
        <v>25</v>
      </c>
      <c r="G160" s="52" t="s">
        <v>785</v>
      </c>
      <c r="H160" s="16" t="s">
        <v>52</v>
      </c>
      <c r="I160" s="29">
        <v>1973</v>
      </c>
      <c r="J160" s="29" t="s">
        <v>139</v>
      </c>
      <c r="K160" s="52" t="s">
        <v>91</v>
      </c>
      <c r="L160" s="16"/>
      <c r="M160" s="103">
        <v>94</v>
      </c>
      <c r="N160" s="103">
        <v>99</v>
      </c>
      <c r="O160" s="103">
        <v>92</v>
      </c>
      <c r="P160" s="103">
        <v>88</v>
      </c>
      <c r="Q160" s="103">
        <v>84</v>
      </c>
      <c r="R160" s="103">
        <v>90</v>
      </c>
      <c r="S160" s="79"/>
      <c r="T160" s="80"/>
      <c r="U160" s="79"/>
      <c r="V160" s="79"/>
    </row>
    <row r="161" spans="1:22" ht="15.75">
      <c r="A161" s="33">
        <v>159</v>
      </c>
      <c r="B161" s="16" t="s">
        <v>784</v>
      </c>
      <c r="C161" s="52" t="s">
        <v>702</v>
      </c>
      <c r="D161" t="str">
        <f>"9040129"</f>
        <v>9040129</v>
      </c>
      <c r="E161" s="52" t="s">
        <v>467</v>
      </c>
      <c r="F161" s="16" t="s">
        <v>25</v>
      </c>
      <c r="G161" s="52" t="s">
        <v>785</v>
      </c>
      <c r="H161" s="16" t="s">
        <v>798</v>
      </c>
      <c r="I161" s="91"/>
      <c r="J161" s="91" t="s">
        <v>789</v>
      </c>
      <c r="K161" s="52" t="s">
        <v>91</v>
      </c>
      <c r="L161" s="16"/>
      <c r="M161" s="103">
        <v>10</v>
      </c>
      <c r="N161" s="103">
        <v>11</v>
      </c>
      <c r="O161" s="103">
        <v>12</v>
      </c>
      <c r="P161" s="103">
        <v>10</v>
      </c>
      <c r="Q161" s="103">
        <v>13</v>
      </c>
      <c r="R161" s="103">
        <v>15</v>
      </c>
      <c r="S161" s="79"/>
      <c r="T161" s="80"/>
      <c r="U161" s="79"/>
      <c r="V161" s="79"/>
    </row>
    <row r="162" spans="1:22" ht="15.75">
      <c r="A162" s="33">
        <v>160</v>
      </c>
      <c r="B162" s="16" t="s">
        <v>784</v>
      </c>
      <c r="C162" s="52" t="s">
        <v>704</v>
      </c>
      <c r="D162" t="str">
        <f>"9040131"</f>
        <v>9040131</v>
      </c>
      <c r="E162" s="52" t="s">
        <v>467</v>
      </c>
      <c r="F162" s="16" t="s">
        <v>25</v>
      </c>
      <c r="G162" s="52" t="s">
        <v>785</v>
      </c>
      <c r="H162" s="16" t="s">
        <v>799</v>
      </c>
      <c r="I162" s="91"/>
      <c r="J162" s="91" t="s">
        <v>789</v>
      </c>
      <c r="K162" s="52" t="s">
        <v>91</v>
      </c>
      <c r="L162" s="16"/>
      <c r="M162" s="103">
        <v>13</v>
      </c>
      <c r="N162" s="103">
        <v>14</v>
      </c>
      <c r="O162" s="103">
        <v>16</v>
      </c>
      <c r="P162" s="103">
        <v>19</v>
      </c>
      <c r="Q162" s="103">
        <v>14</v>
      </c>
      <c r="R162" s="103">
        <v>14</v>
      </c>
      <c r="S162" s="79"/>
      <c r="T162" s="80"/>
      <c r="U162" s="79"/>
      <c r="V162" s="79"/>
    </row>
    <row r="163" spans="1:22" ht="15.75">
      <c r="A163" s="33">
        <v>161</v>
      </c>
      <c r="B163" s="16" t="s">
        <v>784</v>
      </c>
      <c r="C163" s="52" t="s">
        <v>705</v>
      </c>
      <c r="D163" t="str">
        <f>"9040138"</f>
        <v>9040138</v>
      </c>
      <c r="E163" s="52" t="s">
        <v>467</v>
      </c>
      <c r="F163" s="16" t="s">
        <v>25</v>
      </c>
      <c r="G163" s="52" t="s">
        <v>785</v>
      </c>
      <c r="H163" s="16" t="s">
        <v>800</v>
      </c>
      <c r="I163" s="91"/>
      <c r="J163" s="91" t="s">
        <v>789</v>
      </c>
      <c r="K163" s="52" t="s">
        <v>91</v>
      </c>
      <c r="L163" s="16"/>
      <c r="M163" s="103">
        <v>119</v>
      </c>
      <c r="N163" s="103">
        <v>107</v>
      </c>
      <c r="O163" s="103">
        <v>100</v>
      </c>
      <c r="P163" s="103">
        <v>96</v>
      </c>
      <c r="Q163" s="103">
        <v>98</v>
      </c>
      <c r="R163" s="103">
        <v>96</v>
      </c>
      <c r="S163" s="79"/>
      <c r="T163" s="80"/>
      <c r="U163" s="79"/>
      <c r="V163" s="79"/>
    </row>
    <row r="164" spans="1:22" ht="15.75">
      <c r="A164" s="33">
        <v>162</v>
      </c>
      <c r="B164" s="16" t="s">
        <v>784</v>
      </c>
      <c r="C164" s="52" t="s">
        <v>707</v>
      </c>
      <c r="D164" t="str">
        <f>"9040146"</f>
        <v>9040146</v>
      </c>
      <c r="E164" s="52" t="s">
        <v>467</v>
      </c>
      <c r="F164" s="16" t="s">
        <v>25</v>
      </c>
      <c r="G164" s="52" t="s">
        <v>785</v>
      </c>
      <c r="H164" s="16" t="s">
        <v>801</v>
      </c>
      <c r="I164" s="29">
        <v>1958</v>
      </c>
      <c r="J164" s="91" t="s">
        <v>789</v>
      </c>
      <c r="K164" s="52" t="s">
        <v>91</v>
      </c>
      <c r="L164" s="16"/>
      <c r="M164" s="103">
        <v>66</v>
      </c>
      <c r="N164" s="103">
        <v>61</v>
      </c>
      <c r="O164" s="103">
        <v>64</v>
      </c>
      <c r="P164" s="103">
        <v>63</v>
      </c>
      <c r="Q164" s="103">
        <v>68</v>
      </c>
      <c r="R164" s="103">
        <v>60</v>
      </c>
      <c r="S164" s="79"/>
      <c r="T164" s="80"/>
      <c r="U164" s="79"/>
      <c r="V164" s="79"/>
    </row>
    <row r="165" spans="1:22" ht="15.75">
      <c r="A165" s="33">
        <v>163</v>
      </c>
      <c r="B165" s="16" t="s">
        <v>784</v>
      </c>
      <c r="C165" s="52" t="s">
        <v>708</v>
      </c>
      <c r="D165" t="str">
        <f>"9040149"</f>
        <v>9040149</v>
      </c>
      <c r="E165" s="52" t="s">
        <v>467</v>
      </c>
      <c r="F165" s="16" t="s">
        <v>25</v>
      </c>
      <c r="G165" s="52" t="s">
        <v>785</v>
      </c>
      <c r="H165" s="16" t="s">
        <v>802</v>
      </c>
      <c r="I165" s="91"/>
      <c r="J165" s="91" t="s">
        <v>789</v>
      </c>
      <c r="K165" s="52" t="s">
        <v>91</v>
      </c>
      <c r="L165" s="16"/>
      <c r="M165" s="103">
        <v>33</v>
      </c>
      <c r="N165" s="103">
        <v>24</v>
      </c>
      <c r="O165" s="103">
        <v>21</v>
      </c>
      <c r="P165" s="103">
        <v>16</v>
      </c>
      <c r="Q165" s="103">
        <v>11</v>
      </c>
      <c r="R165" s="103">
        <v>11</v>
      </c>
      <c r="S165" s="79"/>
      <c r="T165" s="80"/>
      <c r="U165" s="79"/>
      <c r="V165" s="79"/>
    </row>
    <row r="166" spans="1:22" ht="15.75">
      <c r="A166" s="33">
        <v>164</v>
      </c>
      <c r="B166" s="16" t="s">
        <v>784</v>
      </c>
      <c r="C166" s="52" t="s">
        <v>709</v>
      </c>
      <c r="D166" t="str">
        <f>"9040150"</f>
        <v>9040150</v>
      </c>
      <c r="E166" s="52" t="s">
        <v>467</v>
      </c>
      <c r="F166" s="16" t="s">
        <v>25</v>
      </c>
      <c r="G166" s="52" t="s">
        <v>785</v>
      </c>
      <c r="H166" s="16" t="s">
        <v>803</v>
      </c>
      <c r="I166" s="29">
        <v>1954</v>
      </c>
      <c r="J166" s="91" t="s">
        <v>789</v>
      </c>
      <c r="K166" s="52" t="s">
        <v>91</v>
      </c>
      <c r="L166" s="16"/>
      <c r="M166" s="103">
        <v>70</v>
      </c>
      <c r="N166" s="103">
        <v>67</v>
      </c>
      <c r="O166" s="103">
        <v>67</v>
      </c>
      <c r="P166" s="103">
        <v>58</v>
      </c>
      <c r="Q166" s="103">
        <v>56</v>
      </c>
      <c r="R166" s="103">
        <v>51</v>
      </c>
      <c r="S166" s="79"/>
      <c r="T166" s="80"/>
      <c r="U166" s="79"/>
      <c r="V166" s="79"/>
    </row>
    <row r="167" spans="1:22" ht="15.75">
      <c r="A167" s="33">
        <v>165</v>
      </c>
      <c r="B167" s="16" t="s">
        <v>784</v>
      </c>
      <c r="C167" s="52" t="s">
        <v>711</v>
      </c>
      <c r="D167" t="str">
        <f>"9040163"</f>
        <v>9040163</v>
      </c>
      <c r="E167" s="52" t="s">
        <v>467</v>
      </c>
      <c r="F167" s="16" t="s">
        <v>25</v>
      </c>
      <c r="G167" s="52" t="s">
        <v>785</v>
      </c>
      <c r="H167" s="16" t="s">
        <v>803</v>
      </c>
      <c r="I167" s="29">
        <v>1949</v>
      </c>
      <c r="J167" s="91" t="s">
        <v>789</v>
      </c>
      <c r="K167" s="52" t="s">
        <v>91</v>
      </c>
      <c r="L167" s="16"/>
      <c r="M167" s="103">
        <v>20</v>
      </c>
      <c r="N167" s="103">
        <v>17</v>
      </c>
      <c r="O167" s="103">
        <v>22</v>
      </c>
      <c r="P167" s="103">
        <v>24</v>
      </c>
      <c r="Q167" s="103">
        <v>23</v>
      </c>
      <c r="R167" s="103">
        <v>22</v>
      </c>
      <c r="S167" s="79"/>
      <c r="T167" s="80"/>
      <c r="U167" s="79"/>
      <c r="V167" s="79"/>
    </row>
    <row r="168" spans="1:22" ht="15.75">
      <c r="A168" s="33">
        <v>166</v>
      </c>
      <c r="B168" s="16" t="s">
        <v>784</v>
      </c>
      <c r="C168" s="52" t="s">
        <v>714</v>
      </c>
      <c r="D168" t="str">
        <f>"9040167"</f>
        <v>9040167</v>
      </c>
      <c r="E168" s="52" t="s">
        <v>467</v>
      </c>
      <c r="F168" s="16" t="s">
        <v>25</v>
      </c>
      <c r="G168" s="52" t="s">
        <v>785</v>
      </c>
      <c r="H168" s="16" t="s">
        <v>59</v>
      </c>
      <c r="I168" s="91"/>
      <c r="J168" s="91" t="s">
        <v>789</v>
      </c>
      <c r="K168" s="52" t="s">
        <v>91</v>
      </c>
      <c r="L168" s="16"/>
      <c r="M168" s="103">
        <v>16</v>
      </c>
      <c r="N168" s="103">
        <v>16</v>
      </c>
      <c r="O168" s="103">
        <v>15</v>
      </c>
      <c r="P168" s="103">
        <v>15</v>
      </c>
      <c r="Q168" s="103">
        <v>16</v>
      </c>
      <c r="R168" s="103">
        <v>13</v>
      </c>
      <c r="S168" s="79"/>
      <c r="T168" s="80"/>
      <c r="U168" s="79"/>
      <c r="V168" s="79"/>
    </row>
    <row r="169" spans="1:22" ht="15.75">
      <c r="A169" s="33">
        <v>167</v>
      </c>
      <c r="B169" s="16" t="s">
        <v>784</v>
      </c>
      <c r="C169" s="52" t="s">
        <v>732</v>
      </c>
      <c r="D169" t="str">
        <f>"9040176"</f>
        <v>9040176</v>
      </c>
      <c r="E169" s="52" t="s">
        <v>467</v>
      </c>
      <c r="F169" s="16" t="s">
        <v>25</v>
      </c>
      <c r="G169" s="52" t="s">
        <v>785</v>
      </c>
      <c r="H169" s="16" t="s">
        <v>821</v>
      </c>
      <c r="I169" s="29">
        <v>1929</v>
      </c>
      <c r="J169" s="91" t="s">
        <v>789</v>
      </c>
      <c r="K169" s="52" t="s">
        <v>91</v>
      </c>
      <c r="L169" s="16"/>
      <c r="M169" s="103">
        <v>10</v>
      </c>
      <c r="N169" s="103">
        <v>10</v>
      </c>
      <c r="O169" s="103">
        <v>11</v>
      </c>
      <c r="P169" s="103">
        <v>8</v>
      </c>
      <c r="Q169" s="103">
        <v>6</v>
      </c>
      <c r="R169" s="103">
        <v>4</v>
      </c>
      <c r="S169" s="79"/>
      <c r="T169" s="80"/>
      <c r="U169" s="79"/>
      <c r="V169" s="79"/>
    </row>
    <row r="170" spans="1:22" ht="15.75">
      <c r="A170" s="33">
        <v>168</v>
      </c>
      <c r="B170" s="16" t="s">
        <v>784</v>
      </c>
      <c r="C170" s="52" t="s">
        <v>729</v>
      </c>
      <c r="D170" s="116" t="str">
        <f>"9040184"</f>
        <v>9040184</v>
      </c>
      <c r="E170" s="52" t="s">
        <v>467</v>
      </c>
      <c r="F170" s="16" t="s">
        <v>25</v>
      </c>
      <c r="G170" s="52" t="s">
        <v>785</v>
      </c>
      <c r="H170" s="16" t="s">
        <v>818</v>
      </c>
      <c r="I170" s="29">
        <v>1950</v>
      </c>
      <c r="J170" s="91" t="s">
        <v>789</v>
      </c>
      <c r="K170" s="52" t="s">
        <v>91</v>
      </c>
      <c r="L170" s="16"/>
      <c r="M170" s="103">
        <v>15</v>
      </c>
      <c r="N170" s="103">
        <v>19</v>
      </c>
      <c r="O170" s="103">
        <v>16</v>
      </c>
      <c r="P170" s="103">
        <v>14</v>
      </c>
      <c r="Q170" s="103">
        <v>10</v>
      </c>
      <c r="R170" s="103">
        <v>9</v>
      </c>
      <c r="S170" s="79"/>
      <c r="T170" s="80"/>
      <c r="U170" s="79"/>
      <c r="V170" s="79"/>
    </row>
    <row r="171" spans="1:22" ht="15.75">
      <c r="A171" s="33">
        <v>169</v>
      </c>
      <c r="B171" s="16" t="s">
        <v>784</v>
      </c>
      <c r="C171" s="52" t="s">
        <v>731</v>
      </c>
      <c r="D171" t="str">
        <f>"9040187"</f>
        <v>9040187</v>
      </c>
      <c r="E171" s="52" t="s">
        <v>467</v>
      </c>
      <c r="F171" s="16" t="s">
        <v>25</v>
      </c>
      <c r="G171" s="52" t="s">
        <v>785</v>
      </c>
      <c r="H171" s="16" t="s">
        <v>820</v>
      </c>
      <c r="I171" s="91"/>
      <c r="J171" s="91" t="s">
        <v>789</v>
      </c>
      <c r="K171" s="52" t="s">
        <v>91</v>
      </c>
      <c r="L171" s="16"/>
      <c r="M171" s="103">
        <v>15</v>
      </c>
      <c r="N171" s="103">
        <v>16</v>
      </c>
      <c r="O171" s="103">
        <v>19</v>
      </c>
      <c r="P171" s="103">
        <v>18</v>
      </c>
      <c r="Q171" s="103">
        <v>17</v>
      </c>
      <c r="R171" s="103">
        <v>15</v>
      </c>
      <c r="S171" s="79"/>
      <c r="T171" s="80"/>
      <c r="U171" s="79"/>
      <c r="V171" s="79"/>
    </row>
    <row r="172" spans="1:22" ht="15.75">
      <c r="A172" s="33">
        <v>170</v>
      </c>
      <c r="B172" s="16" t="s">
        <v>784</v>
      </c>
      <c r="C172" s="52" t="s">
        <v>735</v>
      </c>
      <c r="D172" s="116" t="str">
        <f>"9040195"</f>
        <v>9040195</v>
      </c>
      <c r="E172" s="52" t="s">
        <v>467</v>
      </c>
      <c r="F172" s="16" t="s">
        <v>25</v>
      </c>
      <c r="G172" s="52" t="s">
        <v>785</v>
      </c>
      <c r="H172" s="16" t="s">
        <v>825</v>
      </c>
      <c r="I172" s="29">
        <v>1955</v>
      </c>
      <c r="J172" s="91" t="s">
        <v>789</v>
      </c>
      <c r="K172" s="52" t="s">
        <v>91</v>
      </c>
      <c r="L172" s="16"/>
      <c r="M172" s="103">
        <v>97</v>
      </c>
      <c r="N172" s="103">
        <v>92</v>
      </c>
      <c r="O172" s="103">
        <v>92</v>
      </c>
      <c r="P172" s="103">
        <v>90</v>
      </c>
      <c r="Q172" s="103">
        <v>88</v>
      </c>
      <c r="R172" s="103">
        <v>78</v>
      </c>
      <c r="S172" s="79"/>
      <c r="T172" s="80"/>
      <c r="U172" s="79"/>
      <c r="V172" s="79"/>
    </row>
    <row r="173" spans="1:22" ht="15.75">
      <c r="A173" s="33">
        <v>171</v>
      </c>
      <c r="B173" s="16" t="s">
        <v>784</v>
      </c>
      <c r="C173" s="52" t="s">
        <v>695</v>
      </c>
      <c r="D173" t="str">
        <f>"9040203"</f>
        <v>9040203</v>
      </c>
      <c r="E173" s="52" t="s">
        <v>467</v>
      </c>
      <c r="F173" s="16" t="s">
        <v>25</v>
      </c>
      <c r="G173" s="52" t="s">
        <v>785</v>
      </c>
      <c r="H173" s="16" t="s">
        <v>795</v>
      </c>
      <c r="I173" s="29">
        <v>1972</v>
      </c>
      <c r="J173" s="91" t="s">
        <v>789</v>
      </c>
      <c r="K173" s="52" t="s">
        <v>91</v>
      </c>
      <c r="L173" s="16"/>
      <c r="M173" s="103">
        <v>61</v>
      </c>
      <c r="N173" s="103">
        <v>60</v>
      </c>
      <c r="O173" s="103">
        <v>57</v>
      </c>
      <c r="P173" s="103">
        <v>52</v>
      </c>
      <c r="Q173" s="103">
        <v>46</v>
      </c>
      <c r="R173" s="103">
        <v>46</v>
      </c>
      <c r="S173" s="79"/>
      <c r="T173" s="79"/>
      <c r="U173" s="79"/>
      <c r="V173" s="79"/>
    </row>
    <row r="174" spans="1:22" ht="15.75">
      <c r="A174" s="33">
        <v>172</v>
      </c>
      <c r="B174" s="16" t="s">
        <v>784</v>
      </c>
      <c r="C174" s="52" t="s">
        <v>706</v>
      </c>
      <c r="D174" t="str">
        <f>"9040224"</f>
        <v>9040224</v>
      </c>
      <c r="E174" s="52" t="s">
        <v>467</v>
      </c>
      <c r="F174" s="16" t="s">
        <v>25</v>
      </c>
      <c r="G174" s="52" t="s">
        <v>785</v>
      </c>
      <c r="H174" s="16" t="s">
        <v>236</v>
      </c>
      <c r="I174" s="29">
        <v>1977</v>
      </c>
      <c r="J174" s="91" t="s">
        <v>789</v>
      </c>
      <c r="K174" s="52" t="s">
        <v>91</v>
      </c>
      <c r="L174" s="16"/>
      <c r="M174" s="103">
        <v>54</v>
      </c>
      <c r="N174" s="103">
        <v>57</v>
      </c>
      <c r="O174" s="103">
        <v>65</v>
      </c>
      <c r="P174" s="103">
        <v>67</v>
      </c>
      <c r="Q174" s="103">
        <v>64</v>
      </c>
      <c r="R174" s="103">
        <v>63</v>
      </c>
      <c r="S174" s="79"/>
      <c r="T174" s="79"/>
      <c r="U174" s="79"/>
      <c r="V174" s="79"/>
    </row>
    <row r="175" spans="1:22" ht="15.75">
      <c r="A175" s="33">
        <v>173</v>
      </c>
      <c r="B175" s="16" t="s">
        <v>784</v>
      </c>
      <c r="C175" s="52" t="s">
        <v>685</v>
      </c>
      <c r="D175" t="str">
        <f>"9040239"</f>
        <v>9040239</v>
      </c>
      <c r="E175" s="52" t="s">
        <v>467</v>
      </c>
      <c r="F175" s="16" t="s">
        <v>25</v>
      </c>
      <c r="G175" s="52" t="s">
        <v>785</v>
      </c>
      <c r="H175" s="16" t="s">
        <v>25</v>
      </c>
      <c r="I175" s="29">
        <v>2002</v>
      </c>
      <c r="J175" s="29" t="s">
        <v>139</v>
      </c>
      <c r="K175" s="52" t="s">
        <v>91</v>
      </c>
      <c r="L175" s="16"/>
      <c r="M175" s="103">
        <v>178</v>
      </c>
      <c r="N175" s="103">
        <v>173</v>
      </c>
      <c r="O175" s="103">
        <v>174</v>
      </c>
      <c r="P175" s="103">
        <v>161</v>
      </c>
      <c r="Q175" s="103">
        <v>152</v>
      </c>
      <c r="R175" s="103">
        <v>148</v>
      </c>
      <c r="S175" s="79"/>
      <c r="T175" s="79"/>
      <c r="U175" s="79"/>
      <c r="V175" s="79"/>
    </row>
    <row r="176" spans="1:22" ht="15.75">
      <c r="A176" s="33">
        <v>174</v>
      </c>
      <c r="B176" s="16" t="s">
        <v>784</v>
      </c>
      <c r="C176" s="52" t="s">
        <v>684</v>
      </c>
      <c r="D176" t="str">
        <f>"9040252"</f>
        <v>9040252</v>
      </c>
      <c r="E176" s="52" t="s">
        <v>467</v>
      </c>
      <c r="F176" s="16" t="s">
        <v>25</v>
      </c>
      <c r="G176" s="52" t="s">
        <v>785</v>
      </c>
      <c r="H176" s="16" t="s">
        <v>25</v>
      </c>
      <c r="I176" s="29">
        <v>1978</v>
      </c>
      <c r="J176" s="91" t="s">
        <v>139</v>
      </c>
      <c r="K176" s="52" t="s">
        <v>91</v>
      </c>
      <c r="L176" s="16"/>
      <c r="M176" s="103">
        <v>100</v>
      </c>
      <c r="N176" s="103">
        <v>96</v>
      </c>
      <c r="O176" s="103">
        <v>93</v>
      </c>
      <c r="P176" s="103">
        <v>83</v>
      </c>
      <c r="Q176" s="103">
        <v>87</v>
      </c>
      <c r="R176" s="103">
        <v>97</v>
      </c>
      <c r="S176" s="79"/>
      <c r="T176" s="79"/>
      <c r="U176" s="79"/>
      <c r="V176" s="79"/>
    </row>
    <row r="177" spans="1:22" ht="15.75">
      <c r="A177" s="33">
        <v>175</v>
      </c>
      <c r="B177" s="16" t="s">
        <v>784</v>
      </c>
      <c r="C177" s="52" t="s">
        <v>682</v>
      </c>
      <c r="D177" t="str">
        <f>"9040257"</f>
        <v>9040257</v>
      </c>
      <c r="E177" s="52" t="s">
        <v>467</v>
      </c>
      <c r="F177" s="16" t="s">
        <v>25</v>
      </c>
      <c r="G177" s="52" t="s">
        <v>785</v>
      </c>
      <c r="H177" s="16" t="s">
        <v>25</v>
      </c>
      <c r="I177" s="29">
        <v>1997</v>
      </c>
      <c r="J177" s="29" t="s">
        <v>139</v>
      </c>
      <c r="K177" s="52" t="s">
        <v>91</v>
      </c>
      <c r="L177" s="16"/>
      <c r="M177" s="103">
        <v>26</v>
      </c>
      <c r="N177" s="103">
        <v>25</v>
      </c>
      <c r="O177" s="103">
        <v>25</v>
      </c>
      <c r="P177" s="103">
        <v>26</v>
      </c>
      <c r="Q177" s="103">
        <v>27</v>
      </c>
      <c r="R177" s="103">
        <v>26</v>
      </c>
      <c r="S177" s="79"/>
      <c r="T177" s="79"/>
      <c r="U177" s="79"/>
      <c r="V177" s="79"/>
    </row>
    <row r="178" spans="1:22" ht="15.75">
      <c r="A178" s="33">
        <v>176</v>
      </c>
      <c r="B178" s="16" t="s">
        <v>784</v>
      </c>
      <c r="C178" s="52" t="s">
        <v>689</v>
      </c>
      <c r="D178" t="str">
        <f>"9040264"</f>
        <v>9040264</v>
      </c>
      <c r="E178" s="52" t="s">
        <v>467</v>
      </c>
      <c r="F178" s="16" t="s">
        <v>25</v>
      </c>
      <c r="G178" s="52" t="s">
        <v>785</v>
      </c>
      <c r="H178" s="16" t="s">
        <v>25</v>
      </c>
      <c r="I178" s="29">
        <v>1983</v>
      </c>
      <c r="J178" s="29" t="s">
        <v>139</v>
      </c>
      <c r="K178" s="52" t="s">
        <v>91</v>
      </c>
      <c r="L178" s="16"/>
      <c r="M178" s="103">
        <v>214</v>
      </c>
      <c r="N178" s="103">
        <v>198</v>
      </c>
      <c r="O178" s="103">
        <v>181</v>
      </c>
      <c r="P178" s="103">
        <v>181</v>
      </c>
      <c r="Q178" s="103">
        <v>185</v>
      </c>
      <c r="R178" s="103">
        <v>168</v>
      </c>
      <c r="S178" s="79"/>
      <c r="T178" s="80"/>
      <c r="U178" s="79"/>
      <c r="V178" s="79"/>
    </row>
    <row r="179" spans="1:22" ht="15.75">
      <c r="A179" s="33">
        <v>177</v>
      </c>
      <c r="B179" s="16" t="s">
        <v>784</v>
      </c>
      <c r="C179" s="52" t="s">
        <v>701</v>
      </c>
      <c r="D179" t="str">
        <f>"9040024"</f>
        <v>9040024</v>
      </c>
      <c r="E179" s="52" t="s">
        <v>467</v>
      </c>
      <c r="F179" s="16" t="s">
        <v>25</v>
      </c>
      <c r="G179" s="34" t="s">
        <v>49</v>
      </c>
      <c r="H179" s="16" t="s">
        <v>53</v>
      </c>
      <c r="I179" s="29">
        <v>1972</v>
      </c>
      <c r="J179" s="91" t="s">
        <v>789</v>
      </c>
      <c r="K179" s="52" t="s">
        <v>91</v>
      </c>
      <c r="L179" s="16"/>
      <c r="M179" s="103">
        <v>22</v>
      </c>
      <c r="N179" s="103">
        <v>24</v>
      </c>
      <c r="O179" s="103">
        <v>19</v>
      </c>
      <c r="P179" s="103">
        <v>20</v>
      </c>
      <c r="Q179" s="103">
        <v>15</v>
      </c>
      <c r="R179" s="103">
        <v>13</v>
      </c>
      <c r="S179" s="79"/>
      <c r="T179" s="80"/>
      <c r="U179" s="79"/>
      <c r="V179" s="79"/>
    </row>
    <row r="180" spans="1:22" ht="15.75">
      <c r="A180" s="33">
        <v>178</v>
      </c>
      <c r="B180" s="16" t="s">
        <v>784</v>
      </c>
      <c r="C180" s="52" t="s">
        <v>728</v>
      </c>
      <c r="D180" t="str">
        <f>"9040029"</f>
        <v>9040029</v>
      </c>
      <c r="E180" s="52" t="s">
        <v>467</v>
      </c>
      <c r="F180" s="16" t="s">
        <v>25</v>
      </c>
      <c r="G180" s="34" t="s">
        <v>49</v>
      </c>
      <c r="H180" s="16" t="s">
        <v>817</v>
      </c>
      <c r="I180" s="91"/>
      <c r="J180" s="91" t="s">
        <v>789</v>
      </c>
      <c r="K180" s="52" t="s">
        <v>91</v>
      </c>
      <c r="L180" s="16"/>
      <c r="M180" s="103">
        <v>4</v>
      </c>
      <c r="N180" s="103">
        <v>5</v>
      </c>
      <c r="O180" s="103">
        <v>6</v>
      </c>
      <c r="P180" s="103">
        <v>7</v>
      </c>
      <c r="Q180" s="103">
        <v>7</v>
      </c>
      <c r="R180" s="103">
        <v>7</v>
      </c>
      <c r="S180" s="79"/>
      <c r="T180" s="80"/>
      <c r="U180" s="79"/>
      <c r="V180" s="79"/>
    </row>
    <row r="181" spans="1:22" ht="15.75">
      <c r="A181" s="33">
        <v>179</v>
      </c>
      <c r="B181" s="16" t="s">
        <v>784</v>
      </c>
      <c r="C181" s="52" t="s">
        <v>725</v>
      </c>
      <c r="D181" t="str">
        <f>"9040055"</f>
        <v>9040055</v>
      </c>
      <c r="E181" s="52" t="s">
        <v>467</v>
      </c>
      <c r="F181" s="16" t="s">
        <v>25</v>
      </c>
      <c r="G181" s="34" t="s">
        <v>49</v>
      </c>
      <c r="H181" s="16" t="s">
        <v>816</v>
      </c>
      <c r="I181" s="29">
        <v>1962</v>
      </c>
      <c r="J181" s="91" t="s">
        <v>789</v>
      </c>
      <c r="K181" s="52" t="s">
        <v>91</v>
      </c>
      <c r="L181" s="16"/>
      <c r="M181" s="103">
        <v>3</v>
      </c>
      <c r="N181" s="103">
        <v>2</v>
      </c>
      <c r="O181" s="103">
        <v>3</v>
      </c>
      <c r="P181" s="103">
        <v>3</v>
      </c>
      <c r="Q181" s="103">
        <v>4</v>
      </c>
      <c r="R181" s="103">
        <v>4</v>
      </c>
      <c r="S181" s="79"/>
      <c r="T181" s="80"/>
      <c r="U181" s="79"/>
      <c r="V181" s="79"/>
    </row>
    <row r="182" spans="1:22" ht="15.75">
      <c r="A182" s="33">
        <v>180</v>
      </c>
      <c r="B182" s="16" t="s">
        <v>784</v>
      </c>
      <c r="C182" s="52" t="s">
        <v>724</v>
      </c>
      <c r="D182" t="str">
        <f>"9040066"</f>
        <v>9040066</v>
      </c>
      <c r="E182" s="52" t="s">
        <v>467</v>
      </c>
      <c r="F182" s="16" t="s">
        <v>25</v>
      </c>
      <c r="G182" s="34" t="s">
        <v>49</v>
      </c>
      <c r="H182" s="16" t="s">
        <v>815</v>
      </c>
      <c r="I182" s="29">
        <v>1976</v>
      </c>
      <c r="J182" s="91" t="s">
        <v>789</v>
      </c>
      <c r="K182" s="52" t="s">
        <v>91</v>
      </c>
      <c r="L182" s="16"/>
      <c r="M182" s="103">
        <v>25</v>
      </c>
      <c r="N182" s="103">
        <v>23</v>
      </c>
      <c r="O182" s="103">
        <v>20</v>
      </c>
      <c r="P182" s="103">
        <v>19</v>
      </c>
      <c r="Q182" s="103">
        <v>18</v>
      </c>
      <c r="R182" s="103">
        <v>21</v>
      </c>
      <c r="S182" s="79"/>
      <c r="T182" s="80"/>
      <c r="U182" s="79"/>
      <c r="V182" s="79"/>
    </row>
    <row r="183" spans="1:22" ht="15.75">
      <c r="A183" s="33">
        <v>181</v>
      </c>
      <c r="B183" s="16" t="s">
        <v>784</v>
      </c>
      <c r="C183" s="52" t="s">
        <v>719</v>
      </c>
      <c r="D183" t="str">
        <f>"9040074"</f>
        <v>9040074</v>
      </c>
      <c r="E183" s="52" t="s">
        <v>467</v>
      </c>
      <c r="F183" s="16" t="s">
        <v>25</v>
      </c>
      <c r="G183" s="34" t="s">
        <v>49</v>
      </c>
      <c r="H183" s="16" t="s">
        <v>812</v>
      </c>
      <c r="I183" s="29">
        <v>1972</v>
      </c>
      <c r="J183" s="29" t="s">
        <v>139</v>
      </c>
      <c r="K183" s="52" t="s">
        <v>91</v>
      </c>
      <c r="L183" s="16"/>
      <c r="M183" s="103">
        <v>7</v>
      </c>
      <c r="N183" s="103">
        <v>7</v>
      </c>
      <c r="O183" s="103">
        <v>8</v>
      </c>
      <c r="P183" s="103">
        <v>7</v>
      </c>
      <c r="Q183" s="103">
        <v>6</v>
      </c>
      <c r="R183" s="103">
        <v>6</v>
      </c>
      <c r="S183" s="79"/>
      <c r="T183" s="80"/>
      <c r="U183" s="79"/>
      <c r="V183" s="79"/>
    </row>
    <row r="184" spans="1:22" ht="15.75">
      <c r="A184" s="33">
        <v>182</v>
      </c>
      <c r="B184" s="16" t="s">
        <v>784</v>
      </c>
      <c r="C184" s="52" t="s">
        <v>727</v>
      </c>
      <c r="D184" t="str">
        <f>"9040085"</f>
        <v>9040085</v>
      </c>
      <c r="E184" s="52" t="s">
        <v>467</v>
      </c>
      <c r="F184" s="16" t="s">
        <v>25</v>
      </c>
      <c r="G184" s="34" t="s">
        <v>49</v>
      </c>
      <c r="H184" s="16" t="s">
        <v>679</v>
      </c>
      <c r="I184" s="29">
        <v>1949</v>
      </c>
      <c r="J184" s="91" t="s">
        <v>789</v>
      </c>
      <c r="K184" s="52" t="s">
        <v>91</v>
      </c>
      <c r="L184" s="16"/>
      <c r="M184" s="103">
        <v>15</v>
      </c>
      <c r="N184" s="103">
        <v>13</v>
      </c>
      <c r="O184" s="103">
        <v>10</v>
      </c>
      <c r="P184" s="103">
        <v>7</v>
      </c>
      <c r="Q184" s="103">
        <v>4</v>
      </c>
      <c r="R184" s="103">
        <v>2</v>
      </c>
      <c r="S184" s="79"/>
      <c r="T184" s="80"/>
      <c r="U184" s="79"/>
      <c r="V184" s="79"/>
    </row>
    <row r="185" spans="1:22" ht="15.75">
      <c r="A185" s="33">
        <v>183</v>
      </c>
      <c r="B185" s="16" t="s">
        <v>784</v>
      </c>
      <c r="C185" s="52" t="s">
        <v>721</v>
      </c>
      <c r="D185" t="str">
        <f>"9040089"</f>
        <v>9040089</v>
      </c>
      <c r="E185" s="52" t="s">
        <v>467</v>
      </c>
      <c r="F185" s="16" t="s">
        <v>25</v>
      </c>
      <c r="G185" s="34" t="s">
        <v>49</v>
      </c>
      <c r="H185" s="16" t="s">
        <v>814</v>
      </c>
      <c r="I185" s="29">
        <v>1954</v>
      </c>
      <c r="J185" s="91" t="s">
        <v>789</v>
      </c>
      <c r="K185" s="52" t="s">
        <v>91</v>
      </c>
      <c r="L185" s="16"/>
      <c r="M185" s="103">
        <v>8</v>
      </c>
      <c r="N185" s="103">
        <v>4</v>
      </c>
      <c r="O185" s="103">
        <v>4</v>
      </c>
      <c r="P185" s="103">
        <v>1</v>
      </c>
      <c r="Q185" s="103">
        <v>6</v>
      </c>
      <c r="R185" s="103">
        <v>5</v>
      </c>
      <c r="S185" s="79"/>
      <c r="T185" s="80"/>
      <c r="U185" s="79"/>
      <c r="V185" s="79"/>
    </row>
    <row r="186" spans="1:22" ht="15.75">
      <c r="A186" s="33">
        <v>184</v>
      </c>
      <c r="B186" s="16" t="s">
        <v>784</v>
      </c>
      <c r="C186" s="52" t="s">
        <v>733</v>
      </c>
      <c r="D186" t="str">
        <f>"9040095"</f>
        <v>9040095</v>
      </c>
      <c r="E186" s="52" t="s">
        <v>467</v>
      </c>
      <c r="F186" s="16" t="s">
        <v>25</v>
      </c>
      <c r="G186" s="34" t="s">
        <v>49</v>
      </c>
      <c r="H186" s="16" t="s">
        <v>823</v>
      </c>
      <c r="I186" s="29">
        <v>1952</v>
      </c>
      <c r="J186" s="29" t="s">
        <v>91</v>
      </c>
      <c r="K186" s="52" t="s">
        <v>91</v>
      </c>
      <c r="L186" s="16"/>
      <c r="M186" s="103">
        <v>10</v>
      </c>
      <c r="N186" s="103">
        <v>9</v>
      </c>
      <c r="O186" s="103">
        <v>7</v>
      </c>
      <c r="P186" s="103">
        <v>4</v>
      </c>
      <c r="Q186" s="103">
        <v>4</v>
      </c>
      <c r="R186" s="103">
        <v>2</v>
      </c>
      <c r="S186" s="79"/>
      <c r="T186" s="80"/>
      <c r="U186" s="79"/>
      <c r="V186" s="79"/>
    </row>
    <row r="187" spans="1:22" ht="15.75">
      <c r="A187" s="33">
        <v>185</v>
      </c>
      <c r="B187" s="16" t="s">
        <v>784</v>
      </c>
      <c r="C187" s="52" t="s">
        <v>703</v>
      </c>
      <c r="D187" t="str">
        <f>"9040044"</f>
        <v>9040044</v>
      </c>
      <c r="E187" s="52" t="s">
        <v>467</v>
      </c>
      <c r="F187" s="16" t="s">
        <v>25</v>
      </c>
      <c r="G187" s="34" t="s">
        <v>50</v>
      </c>
      <c r="H187" s="16" t="s">
        <v>54</v>
      </c>
      <c r="I187" s="29">
        <v>1950</v>
      </c>
      <c r="J187" s="91" t="s">
        <v>789</v>
      </c>
      <c r="K187" s="52" t="s">
        <v>91</v>
      </c>
      <c r="L187" s="16"/>
      <c r="M187" s="103">
        <v>24</v>
      </c>
      <c r="N187" s="103">
        <v>24</v>
      </c>
      <c r="O187" s="103">
        <v>24</v>
      </c>
      <c r="P187" s="103">
        <v>24</v>
      </c>
      <c r="Q187" s="103">
        <v>25</v>
      </c>
      <c r="R187" s="103">
        <v>27</v>
      </c>
      <c r="S187" s="79"/>
      <c r="T187" s="79"/>
      <c r="U187" s="79"/>
      <c r="V187" s="79"/>
    </row>
    <row r="188" spans="1:22" ht="15.75">
      <c r="A188" s="33">
        <v>186</v>
      </c>
      <c r="B188" s="16" t="s">
        <v>784</v>
      </c>
      <c r="C188" s="52" t="s">
        <v>723</v>
      </c>
      <c r="D188" t="str">
        <f>"9040078"</f>
        <v>9040078</v>
      </c>
      <c r="E188" s="52" t="s">
        <v>467</v>
      </c>
      <c r="F188" s="16" t="s">
        <v>25</v>
      </c>
      <c r="G188" s="34" t="s">
        <v>50</v>
      </c>
      <c r="H188" s="16" t="s">
        <v>822</v>
      </c>
      <c r="I188" s="29">
        <v>1926</v>
      </c>
      <c r="J188" s="91" t="s">
        <v>789</v>
      </c>
      <c r="K188" s="52" t="s">
        <v>91</v>
      </c>
      <c r="L188" s="16"/>
      <c r="M188" s="104"/>
      <c r="N188" s="104"/>
      <c r="O188" s="104"/>
      <c r="P188" s="103"/>
      <c r="Q188" s="103"/>
      <c r="R188" s="103"/>
      <c r="S188" s="79"/>
      <c r="T188" s="79"/>
      <c r="U188" s="79"/>
      <c r="V188" s="79"/>
    </row>
    <row r="189" spans="1:22" ht="15.75">
      <c r="A189" s="33">
        <v>187</v>
      </c>
      <c r="B189" s="16" t="s">
        <v>784</v>
      </c>
      <c r="C189" s="52" t="s">
        <v>696</v>
      </c>
      <c r="D189" s="116" t="str">
        <f>"9040118"</f>
        <v>9040118</v>
      </c>
      <c r="E189" s="52" t="s">
        <v>467</v>
      </c>
      <c r="F189" s="16" t="s">
        <v>25</v>
      </c>
      <c r="G189" s="34" t="s">
        <v>50</v>
      </c>
      <c r="H189" s="16" t="s">
        <v>796</v>
      </c>
      <c r="I189" s="91"/>
      <c r="J189" s="91" t="s">
        <v>789</v>
      </c>
      <c r="K189" s="52" t="s">
        <v>91</v>
      </c>
      <c r="L189" s="16"/>
      <c r="M189" s="103">
        <v>18</v>
      </c>
      <c r="N189" s="103">
        <v>16</v>
      </c>
      <c r="O189" s="103">
        <v>16</v>
      </c>
      <c r="P189" s="103">
        <v>13</v>
      </c>
      <c r="Q189" s="103">
        <v>11</v>
      </c>
      <c r="R189" s="103">
        <v>10</v>
      </c>
      <c r="S189" s="79"/>
      <c r="T189" s="79"/>
      <c r="U189" s="79"/>
      <c r="V189" s="79"/>
    </row>
    <row r="190" spans="1:22" ht="15.75">
      <c r="A190" s="33">
        <v>188</v>
      </c>
      <c r="B190" s="16" t="s">
        <v>784</v>
      </c>
      <c r="C190" s="52" t="s">
        <v>720</v>
      </c>
      <c r="D190" s="116" t="str">
        <f>"9040175"</f>
        <v>9040175</v>
      </c>
      <c r="E190" s="52" t="s">
        <v>467</v>
      </c>
      <c r="F190" s="16" t="s">
        <v>25</v>
      </c>
      <c r="G190" s="34" t="s">
        <v>50</v>
      </c>
      <c r="H190" s="16" t="s">
        <v>813</v>
      </c>
      <c r="I190" s="29">
        <v>1955</v>
      </c>
      <c r="J190" s="91" t="s">
        <v>789</v>
      </c>
      <c r="K190" s="52" t="s">
        <v>91</v>
      </c>
      <c r="L190" s="16"/>
      <c r="M190" s="103">
        <v>6</v>
      </c>
      <c r="N190" s="103">
        <v>6</v>
      </c>
      <c r="O190" s="103">
        <v>6</v>
      </c>
      <c r="P190" s="103">
        <v>9</v>
      </c>
      <c r="Q190" s="103">
        <v>6</v>
      </c>
      <c r="R190" s="103">
        <v>5</v>
      </c>
      <c r="S190" s="79"/>
      <c r="T190" s="79"/>
      <c r="U190" s="79"/>
      <c r="V190" s="79"/>
    </row>
    <row r="191" spans="1:22" ht="15.75">
      <c r="A191" s="33">
        <v>189</v>
      </c>
      <c r="B191" s="16" t="s">
        <v>784</v>
      </c>
      <c r="C191" s="52" t="s">
        <v>730</v>
      </c>
      <c r="D191" t="str">
        <f>"9040186"</f>
        <v>9040186</v>
      </c>
      <c r="E191" s="52" t="s">
        <v>467</v>
      </c>
      <c r="F191" s="16" t="s">
        <v>25</v>
      </c>
      <c r="G191" s="34" t="s">
        <v>50</v>
      </c>
      <c r="H191" s="16" t="s">
        <v>819</v>
      </c>
      <c r="I191" s="29">
        <v>1968</v>
      </c>
      <c r="J191" s="91" t="s">
        <v>789</v>
      </c>
      <c r="K191" s="52" t="s">
        <v>91</v>
      </c>
      <c r="L191" s="16"/>
      <c r="M191" s="103">
        <v>7</v>
      </c>
      <c r="N191" s="103">
        <v>7</v>
      </c>
      <c r="O191" s="103">
        <v>8</v>
      </c>
      <c r="P191" s="103">
        <v>6</v>
      </c>
      <c r="Q191" s="103">
        <v>9</v>
      </c>
      <c r="R191" s="103">
        <v>8</v>
      </c>
      <c r="S191" s="79"/>
      <c r="T191" s="80"/>
      <c r="U191" s="79"/>
      <c r="V191" s="79"/>
    </row>
    <row r="192" spans="1:22" ht="15.75">
      <c r="A192" s="33">
        <v>190</v>
      </c>
      <c r="B192" s="16" t="s">
        <v>784</v>
      </c>
      <c r="C192" s="52" t="s">
        <v>715</v>
      </c>
      <c r="D192" s="76" t="str">
        <f>"9040197"</f>
        <v>9040197</v>
      </c>
      <c r="E192" s="52" t="s">
        <v>467</v>
      </c>
      <c r="F192" s="16" t="s">
        <v>25</v>
      </c>
      <c r="G192" s="34" t="s">
        <v>50</v>
      </c>
      <c r="H192" s="16" t="s">
        <v>808</v>
      </c>
      <c r="I192" s="29">
        <v>1927</v>
      </c>
      <c r="J192" s="91" t="s">
        <v>789</v>
      </c>
      <c r="K192" s="52" t="s">
        <v>91</v>
      </c>
      <c r="L192" s="16"/>
      <c r="M192" s="103">
        <v>4</v>
      </c>
      <c r="N192" s="103">
        <v>5</v>
      </c>
      <c r="O192" s="103">
        <v>3</v>
      </c>
      <c r="P192" s="103">
        <v>3</v>
      </c>
      <c r="Q192" s="103">
        <v>2</v>
      </c>
      <c r="R192" s="103">
        <v>0</v>
      </c>
      <c r="S192" s="79"/>
      <c r="T192" s="80"/>
      <c r="U192" s="79"/>
      <c r="V192" s="79"/>
    </row>
    <row r="193" spans="1:22" ht="15.75">
      <c r="A193" s="33">
        <v>191</v>
      </c>
      <c r="B193" s="16" t="s">
        <v>784</v>
      </c>
      <c r="C193" s="52" t="s">
        <v>734</v>
      </c>
      <c r="D193" t="str">
        <f>"9040267"</f>
        <v>9040267</v>
      </c>
      <c r="E193" s="52" t="s">
        <v>467</v>
      </c>
      <c r="F193" s="16" t="s">
        <v>25</v>
      </c>
      <c r="G193" s="34" t="s">
        <v>50</v>
      </c>
      <c r="H193" s="16" t="s">
        <v>824</v>
      </c>
      <c r="I193" s="29">
        <v>1950</v>
      </c>
      <c r="J193" s="91" t="s">
        <v>789</v>
      </c>
      <c r="K193" s="52" t="s">
        <v>91</v>
      </c>
      <c r="L193" s="16"/>
      <c r="M193" s="103">
        <v>3</v>
      </c>
      <c r="N193" s="103">
        <v>3</v>
      </c>
      <c r="O193" s="103">
        <v>4</v>
      </c>
      <c r="P193" s="103">
        <v>4</v>
      </c>
      <c r="Q193" s="103">
        <v>4</v>
      </c>
      <c r="R193" s="103">
        <v>0</v>
      </c>
      <c r="S193" s="79"/>
      <c r="T193" s="80"/>
      <c r="U193" s="79"/>
      <c r="V193" s="79"/>
    </row>
    <row r="194" spans="1:22" ht="15.75">
      <c r="A194" s="33">
        <v>192</v>
      </c>
      <c r="B194" s="16" t="s">
        <v>784</v>
      </c>
      <c r="C194" s="52" t="s">
        <v>694</v>
      </c>
      <c r="D194" t="str">
        <f>"9041000"</f>
        <v>9041000</v>
      </c>
      <c r="E194" s="52" t="s">
        <v>467</v>
      </c>
      <c r="F194" s="16" t="s">
        <v>25</v>
      </c>
      <c r="G194" s="34" t="s">
        <v>50</v>
      </c>
      <c r="H194" s="16" t="s">
        <v>794</v>
      </c>
      <c r="I194" s="91"/>
      <c r="J194" s="91" t="s">
        <v>789</v>
      </c>
      <c r="K194" s="52" t="s">
        <v>91</v>
      </c>
      <c r="L194" s="16"/>
      <c r="M194" s="103">
        <v>5</v>
      </c>
      <c r="N194" s="103">
        <v>4</v>
      </c>
      <c r="O194" s="103">
        <v>4</v>
      </c>
      <c r="P194" s="103">
        <v>3</v>
      </c>
      <c r="Q194" s="103"/>
      <c r="R194" s="103"/>
      <c r="S194" s="79"/>
      <c r="T194" s="80"/>
      <c r="U194" s="79"/>
      <c r="V194" s="79"/>
    </row>
    <row r="195" spans="1:22" ht="15.75">
      <c r="A195" s="33">
        <v>193</v>
      </c>
      <c r="B195" s="16" t="s">
        <v>784</v>
      </c>
      <c r="C195" s="52" t="s">
        <v>692</v>
      </c>
      <c r="D195" t="str">
        <f>"9040013"</f>
        <v>9040013</v>
      </c>
      <c r="E195" s="52" t="s">
        <v>467</v>
      </c>
      <c r="F195" s="16" t="s">
        <v>25</v>
      </c>
      <c r="G195" s="34" t="s">
        <v>51</v>
      </c>
      <c r="H195" s="16" t="s">
        <v>792</v>
      </c>
      <c r="I195" s="29">
        <v>2007</v>
      </c>
      <c r="J195" s="29" t="s">
        <v>139</v>
      </c>
      <c r="K195" s="52" t="s">
        <v>91</v>
      </c>
      <c r="L195" s="16"/>
      <c r="M195" s="103">
        <v>34</v>
      </c>
      <c r="N195" s="103">
        <v>30</v>
      </c>
      <c r="O195" s="103">
        <v>30</v>
      </c>
      <c r="P195" s="103">
        <v>24</v>
      </c>
      <c r="Q195" s="103">
        <v>20</v>
      </c>
      <c r="R195" s="103">
        <v>20</v>
      </c>
      <c r="S195" s="79"/>
      <c r="T195" s="80"/>
      <c r="U195" s="79"/>
      <c r="V195" s="79"/>
    </row>
    <row r="196" spans="1:22" ht="15.75">
      <c r="A196" s="33">
        <v>194</v>
      </c>
      <c r="B196" s="16" t="s">
        <v>784</v>
      </c>
      <c r="C196" s="52" t="s">
        <v>712</v>
      </c>
      <c r="D196" t="str">
        <f>"9040057"</f>
        <v>9040057</v>
      </c>
      <c r="E196" s="52" t="s">
        <v>467</v>
      </c>
      <c r="F196" s="16" t="s">
        <v>25</v>
      </c>
      <c r="G196" s="34" t="s">
        <v>51</v>
      </c>
      <c r="H196" s="16" t="s">
        <v>806</v>
      </c>
      <c r="I196" s="29">
        <v>1956</v>
      </c>
      <c r="J196" s="91" t="s">
        <v>789</v>
      </c>
      <c r="K196" s="52" t="s">
        <v>91</v>
      </c>
      <c r="L196" s="16"/>
      <c r="M196" s="104"/>
      <c r="N196" s="104"/>
      <c r="O196" s="104"/>
      <c r="P196" s="103"/>
      <c r="Q196" s="103"/>
      <c r="R196" s="103"/>
      <c r="S196" s="79"/>
      <c r="T196" s="80"/>
      <c r="U196" s="79"/>
      <c r="V196" s="79"/>
    </row>
    <row r="197" spans="1:22" ht="15.75">
      <c r="A197" s="33">
        <v>195</v>
      </c>
      <c r="B197" s="16" t="s">
        <v>784</v>
      </c>
      <c r="C197" s="52" t="s">
        <v>713</v>
      </c>
      <c r="D197" s="76" t="str">
        <f>"9040059"</f>
        <v>9040059</v>
      </c>
      <c r="E197" s="52" t="s">
        <v>467</v>
      </c>
      <c r="F197" s="16" t="s">
        <v>25</v>
      </c>
      <c r="G197" s="34" t="s">
        <v>51</v>
      </c>
      <c r="H197" s="16" t="s">
        <v>807</v>
      </c>
      <c r="I197" s="29">
        <v>1950</v>
      </c>
      <c r="J197" s="91" t="s">
        <v>789</v>
      </c>
      <c r="K197" s="52" t="s">
        <v>91</v>
      </c>
      <c r="L197" s="16"/>
      <c r="M197" s="103">
        <v>122</v>
      </c>
      <c r="N197" s="103">
        <v>105</v>
      </c>
      <c r="O197" s="103">
        <v>105</v>
      </c>
      <c r="P197" s="103">
        <v>111</v>
      </c>
      <c r="Q197" s="103">
        <v>98</v>
      </c>
      <c r="R197" s="103">
        <v>86</v>
      </c>
      <c r="S197" s="79"/>
      <c r="T197" s="80"/>
      <c r="U197" s="79"/>
      <c r="V197" s="79"/>
    </row>
    <row r="198" spans="1:22" ht="15.75">
      <c r="A198" s="33">
        <v>196</v>
      </c>
      <c r="B198" s="16" t="s">
        <v>784</v>
      </c>
      <c r="C198" s="52" t="s">
        <v>717</v>
      </c>
      <c r="D198" t="str">
        <f>"9040063"</f>
        <v>9040063</v>
      </c>
      <c r="E198" s="52" t="s">
        <v>467</v>
      </c>
      <c r="F198" s="16" t="s">
        <v>25</v>
      </c>
      <c r="G198" s="34" t="s">
        <v>51</v>
      </c>
      <c r="H198" s="16" t="s">
        <v>810</v>
      </c>
      <c r="I198" s="29">
        <v>1952</v>
      </c>
      <c r="J198" s="91" t="s">
        <v>789</v>
      </c>
      <c r="K198" s="52" t="s">
        <v>91</v>
      </c>
      <c r="L198" s="16"/>
      <c r="M198" s="103">
        <v>8</v>
      </c>
      <c r="N198" s="103">
        <v>5</v>
      </c>
      <c r="O198" s="103">
        <v>5</v>
      </c>
      <c r="P198" s="103"/>
      <c r="Q198" s="103"/>
      <c r="R198" s="103"/>
      <c r="S198" s="79"/>
      <c r="T198" s="80"/>
      <c r="U198" s="79"/>
      <c r="V198" s="79"/>
    </row>
    <row r="199" spans="1:22" ht="15.75">
      <c r="A199" s="33">
        <v>197</v>
      </c>
      <c r="B199" s="16" t="s">
        <v>784</v>
      </c>
      <c r="C199" s="52" t="s">
        <v>718</v>
      </c>
      <c r="D199" t="str">
        <f>"9040070"</f>
        <v>9040070</v>
      </c>
      <c r="E199" s="52" t="s">
        <v>467</v>
      </c>
      <c r="F199" s="16" t="s">
        <v>25</v>
      </c>
      <c r="G199" s="34" t="s">
        <v>51</v>
      </c>
      <c r="H199" s="16" t="s">
        <v>811</v>
      </c>
      <c r="I199" s="29">
        <v>1959</v>
      </c>
      <c r="J199" s="91" t="s">
        <v>789</v>
      </c>
      <c r="K199" s="52" t="s">
        <v>91</v>
      </c>
      <c r="L199" s="16"/>
      <c r="M199" s="103">
        <v>12</v>
      </c>
      <c r="N199" s="103">
        <v>10</v>
      </c>
      <c r="O199" s="103">
        <v>11</v>
      </c>
      <c r="P199" s="103">
        <v>8</v>
      </c>
      <c r="Q199" s="103">
        <v>6</v>
      </c>
      <c r="R199" s="103">
        <v>7</v>
      </c>
      <c r="S199" s="79"/>
      <c r="T199" s="80"/>
      <c r="U199" s="79"/>
      <c r="V199" s="79"/>
    </row>
    <row r="200" spans="1:22" ht="15.75">
      <c r="A200" s="33">
        <v>198</v>
      </c>
      <c r="B200" s="16" t="s">
        <v>784</v>
      </c>
      <c r="C200" s="52" t="s">
        <v>722</v>
      </c>
      <c r="D200" t="str">
        <f>"9040076"</f>
        <v>9040076</v>
      </c>
      <c r="E200" s="52" t="s">
        <v>467</v>
      </c>
      <c r="F200" s="16" t="s">
        <v>25</v>
      </c>
      <c r="G200" s="34" t="s">
        <v>51</v>
      </c>
      <c r="H200" s="16" t="s">
        <v>55</v>
      </c>
      <c r="I200" s="29">
        <v>1972</v>
      </c>
      <c r="J200" s="91" t="s">
        <v>789</v>
      </c>
      <c r="K200" s="52" t="s">
        <v>91</v>
      </c>
      <c r="L200" s="16"/>
      <c r="M200" s="103">
        <v>95</v>
      </c>
      <c r="N200" s="103">
        <v>94</v>
      </c>
      <c r="O200" s="103">
        <v>91</v>
      </c>
      <c r="P200" s="103">
        <v>91</v>
      </c>
      <c r="Q200" s="103">
        <v>92</v>
      </c>
      <c r="R200" s="103">
        <v>93</v>
      </c>
      <c r="S200" s="79"/>
      <c r="T200" s="80"/>
      <c r="U200" s="79"/>
      <c r="V200" s="79"/>
    </row>
    <row r="201" spans="1:22" ht="15.75">
      <c r="A201" s="33">
        <v>199</v>
      </c>
      <c r="B201" s="16" t="s">
        <v>784</v>
      </c>
      <c r="C201" s="52" t="s">
        <v>693</v>
      </c>
      <c r="D201" t="str">
        <f>"9040081"</f>
        <v>9040081</v>
      </c>
      <c r="E201" s="52" t="s">
        <v>467</v>
      </c>
      <c r="F201" s="16" t="s">
        <v>25</v>
      </c>
      <c r="G201" s="34" t="s">
        <v>51</v>
      </c>
      <c r="H201" s="16" t="s">
        <v>793</v>
      </c>
      <c r="I201" s="29">
        <v>1990</v>
      </c>
      <c r="J201" s="29" t="s">
        <v>139</v>
      </c>
      <c r="K201" s="52" t="s">
        <v>91</v>
      </c>
      <c r="L201" s="16"/>
      <c r="M201" s="103">
        <v>88</v>
      </c>
      <c r="N201" s="103">
        <v>91</v>
      </c>
      <c r="O201" s="103">
        <v>97</v>
      </c>
      <c r="P201" s="103">
        <v>102</v>
      </c>
      <c r="Q201" s="103">
        <v>95</v>
      </c>
      <c r="R201" s="103">
        <v>99</v>
      </c>
      <c r="S201" s="79"/>
      <c r="T201" s="80"/>
      <c r="U201" s="79"/>
      <c r="V201" s="79"/>
    </row>
    <row r="202" spans="1:22" ht="15.75">
      <c r="A202" s="33">
        <v>200</v>
      </c>
      <c r="B202" s="16" t="s">
        <v>784</v>
      </c>
      <c r="C202" s="52" t="s">
        <v>726</v>
      </c>
      <c r="D202" t="str">
        <f>"9040083"</f>
        <v>9040083</v>
      </c>
      <c r="E202" s="52" t="s">
        <v>467</v>
      </c>
      <c r="F202" s="16" t="s">
        <v>25</v>
      </c>
      <c r="G202" s="34" t="s">
        <v>51</v>
      </c>
      <c r="H202" s="16" t="s">
        <v>56</v>
      </c>
      <c r="I202" s="29">
        <v>1904</v>
      </c>
      <c r="J202" s="29" t="s">
        <v>139</v>
      </c>
      <c r="K202" s="52" t="s">
        <v>91</v>
      </c>
      <c r="L202" s="16"/>
      <c r="M202" s="103">
        <v>78</v>
      </c>
      <c r="N202" s="103">
        <v>75</v>
      </c>
      <c r="O202" s="103">
        <v>71</v>
      </c>
      <c r="P202" s="103">
        <v>68</v>
      </c>
      <c r="Q202" s="103">
        <v>57</v>
      </c>
      <c r="R202" s="103">
        <v>49</v>
      </c>
      <c r="S202" s="79"/>
      <c r="T202" s="80"/>
      <c r="U202" s="79"/>
      <c r="V202" s="79"/>
    </row>
    <row r="203" spans="1:22" ht="15.75">
      <c r="A203" s="33">
        <v>201</v>
      </c>
      <c r="B203" s="16" t="s">
        <v>784</v>
      </c>
      <c r="C203" s="52" t="s">
        <v>699</v>
      </c>
      <c r="D203" s="76" t="str">
        <f>"9040214"</f>
        <v>9040214</v>
      </c>
      <c r="E203" s="52" t="s">
        <v>467</v>
      </c>
      <c r="F203" s="16" t="s">
        <v>25</v>
      </c>
      <c r="G203" s="34" t="s">
        <v>51</v>
      </c>
      <c r="H203" s="16" t="s">
        <v>498</v>
      </c>
      <c r="I203" s="29">
        <v>1987</v>
      </c>
      <c r="J203" s="91" t="s">
        <v>789</v>
      </c>
      <c r="K203" s="52" t="s">
        <v>91</v>
      </c>
      <c r="L203" s="16"/>
      <c r="M203" s="103">
        <v>29</v>
      </c>
      <c r="N203" s="103">
        <v>31</v>
      </c>
      <c r="O203" s="103">
        <v>18</v>
      </c>
      <c r="P203" s="103">
        <v>11</v>
      </c>
      <c r="Q203" s="103">
        <v>13</v>
      </c>
      <c r="R203" s="103">
        <v>10</v>
      </c>
      <c r="S203" s="79"/>
      <c r="T203" s="80"/>
      <c r="U203" s="79"/>
      <c r="V203" s="79"/>
    </row>
    <row r="204" spans="1:22" ht="15.75">
      <c r="A204" s="33">
        <v>202</v>
      </c>
      <c r="B204" s="16" t="s">
        <v>784</v>
      </c>
      <c r="C204" s="52" t="s">
        <v>736</v>
      </c>
      <c r="D204" t="str">
        <f>"9040003"</f>
        <v>9040003</v>
      </c>
      <c r="E204" s="52" t="s">
        <v>468</v>
      </c>
      <c r="F204" s="16" t="s">
        <v>25</v>
      </c>
      <c r="G204" s="52" t="s">
        <v>785</v>
      </c>
      <c r="H204" s="16" t="s">
        <v>25</v>
      </c>
      <c r="I204" s="29">
        <v>1378</v>
      </c>
      <c r="J204" s="29" t="s">
        <v>139</v>
      </c>
      <c r="K204" s="52" t="s">
        <v>139</v>
      </c>
      <c r="L204" s="16"/>
      <c r="M204" s="103">
        <v>33</v>
      </c>
      <c r="N204" s="103">
        <v>38</v>
      </c>
      <c r="O204" s="103">
        <v>42</v>
      </c>
      <c r="P204" s="103">
        <v>50</v>
      </c>
      <c r="Q204" s="103">
        <v>49</v>
      </c>
      <c r="R204" s="103">
        <v>49</v>
      </c>
      <c r="S204" s="79"/>
      <c r="T204" s="80"/>
      <c r="U204" s="79"/>
      <c r="V204" s="79"/>
    </row>
    <row r="205" spans="1:22" ht="15.75">
      <c r="A205" s="33">
        <v>203</v>
      </c>
      <c r="B205" s="16" t="s">
        <v>784</v>
      </c>
      <c r="C205" s="52" t="s">
        <v>741</v>
      </c>
      <c r="D205" t="str">
        <f>"9040005"</f>
        <v>9040005</v>
      </c>
      <c r="E205" s="52" t="s">
        <v>468</v>
      </c>
      <c r="F205" s="16" t="s">
        <v>25</v>
      </c>
      <c r="G205" s="52" t="s">
        <v>785</v>
      </c>
      <c r="H205" s="16" t="s">
        <v>25</v>
      </c>
      <c r="I205" s="29">
        <v>1983</v>
      </c>
      <c r="J205" s="29" t="s">
        <v>139</v>
      </c>
      <c r="K205" s="52" t="s">
        <v>91</v>
      </c>
      <c r="L205" s="16"/>
      <c r="M205" s="103">
        <v>19</v>
      </c>
      <c r="N205" s="103">
        <v>22</v>
      </c>
      <c r="O205" s="103">
        <v>22</v>
      </c>
      <c r="P205" s="103">
        <v>25</v>
      </c>
      <c r="Q205" s="103">
        <v>24</v>
      </c>
      <c r="R205" s="103">
        <v>25</v>
      </c>
      <c r="S205" s="79"/>
      <c r="T205" s="80"/>
      <c r="U205" s="79"/>
      <c r="V205" s="79"/>
    </row>
    <row r="206" spans="1:22" ht="15.75">
      <c r="A206" s="33">
        <v>204</v>
      </c>
      <c r="B206" s="16" t="s">
        <v>784</v>
      </c>
      <c r="C206" s="52" t="s">
        <v>743</v>
      </c>
      <c r="D206" t="str">
        <f>"9040006"</f>
        <v>9040006</v>
      </c>
      <c r="E206" s="52" t="s">
        <v>468</v>
      </c>
      <c r="F206" s="16" t="s">
        <v>25</v>
      </c>
      <c r="G206" s="52" t="s">
        <v>785</v>
      </c>
      <c r="H206" s="16" t="s">
        <v>25</v>
      </c>
      <c r="I206" s="29">
        <v>2002</v>
      </c>
      <c r="J206" s="29" t="s">
        <v>139</v>
      </c>
      <c r="K206" s="52" t="s">
        <v>91</v>
      </c>
      <c r="L206" s="16"/>
      <c r="M206" s="103">
        <v>43</v>
      </c>
      <c r="N206" s="103">
        <v>42</v>
      </c>
      <c r="O206" s="103">
        <v>40</v>
      </c>
      <c r="P206" s="103">
        <v>34</v>
      </c>
      <c r="Q206" s="103">
        <v>47</v>
      </c>
      <c r="R206" s="103">
        <v>49</v>
      </c>
      <c r="S206" s="79"/>
      <c r="T206" s="80"/>
      <c r="U206" s="79"/>
      <c r="V206" s="79"/>
    </row>
    <row r="207" spans="1:22" ht="15.75">
      <c r="A207" s="33">
        <v>205</v>
      </c>
      <c r="B207" s="16" t="s">
        <v>784</v>
      </c>
      <c r="C207" s="52" t="s">
        <v>745</v>
      </c>
      <c r="D207" t="str">
        <f>"9040009"</f>
        <v>9040009</v>
      </c>
      <c r="E207" s="52" t="s">
        <v>468</v>
      </c>
      <c r="F207" s="16" t="s">
        <v>25</v>
      </c>
      <c r="G207" s="52" t="s">
        <v>785</v>
      </c>
      <c r="H207" s="16" t="s">
        <v>25</v>
      </c>
      <c r="I207" s="29">
        <v>2005</v>
      </c>
      <c r="J207" s="29" t="s">
        <v>139</v>
      </c>
      <c r="K207" s="52" t="s">
        <v>139</v>
      </c>
      <c r="L207" s="16"/>
      <c r="M207" s="103">
        <v>45</v>
      </c>
      <c r="N207" s="103">
        <v>34</v>
      </c>
      <c r="O207" s="103">
        <v>44</v>
      </c>
      <c r="P207" s="103">
        <v>52</v>
      </c>
      <c r="Q207" s="103">
        <v>43</v>
      </c>
      <c r="R207" s="103">
        <v>42</v>
      </c>
      <c r="S207" s="79"/>
      <c r="T207" s="80"/>
      <c r="U207" s="79"/>
      <c r="V207" s="79"/>
    </row>
    <row r="208" spans="1:22" ht="15.75">
      <c r="A208" s="33">
        <v>206</v>
      </c>
      <c r="B208" s="16" t="s">
        <v>784</v>
      </c>
      <c r="C208" s="52" t="s">
        <v>747</v>
      </c>
      <c r="D208" t="str">
        <f>"9040010"</f>
        <v>9040010</v>
      </c>
      <c r="E208" s="52" t="s">
        <v>468</v>
      </c>
      <c r="F208" s="16" t="s">
        <v>25</v>
      </c>
      <c r="G208" s="52" t="s">
        <v>785</v>
      </c>
      <c r="H208" s="16" t="s">
        <v>25</v>
      </c>
      <c r="I208" s="29">
        <v>2003</v>
      </c>
      <c r="J208" s="91" t="s">
        <v>789</v>
      </c>
      <c r="K208" s="52" t="s">
        <v>91</v>
      </c>
      <c r="L208" s="16"/>
      <c r="M208" s="103">
        <v>58</v>
      </c>
      <c r="N208" s="103">
        <v>67</v>
      </c>
      <c r="O208" s="103">
        <v>54</v>
      </c>
      <c r="P208" s="103">
        <v>46</v>
      </c>
      <c r="Q208" s="103">
        <v>35</v>
      </c>
      <c r="R208" s="103">
        <v>51</v>
      </c>
      <c r="S208" s="79"/>
      <c r="T208" s="80"/>
      <c r="U208" s="79"/>
      <c r="V208" s="79"/>
    </row>
    <row r="209" spans="1:22" ht="15.75">
      <c r="A209" s="33">
        <v>207</v>
      </c>
      <c r="B209" s="16" t="s">
        <v>784</v>
      </c>
      <c r="C209" s="52" t="s">
        <v>769</v>
      </c>
      <c r="D209" s="76" t="str">
        <f>"9040061"</f>
        <v>9040061</v>
      </c>
      <c r="E209" s="52" t="s">
        <v>468</v>
      </c>
      <c r="F209" s="16" t="s">
        <v>25</v>
      </c>
      <c r="G209" s="52" t="s">
        <v>785</v>
      </c>
      <c r="H209" s="16" t="s">
        <v>809</v>
      </c>
      <c r="I209" s="29">
        <v>1983</v>
      </c>
      <c r="J209" s="29" t="s">
        <v>91</v>
      </c>
      <c r="K209" s="52" t="s">
        <v>91</v>
      </c>
      <c r="L209" s="16"/>
      <c r="M209" s="103">
        <v>37</v>
      </c>
      <c r="N209" s="103">
        <v>44</v>
      </c>
      <c r="O209" s="103">
        <v>41</v>
      </c>
      <c r="P209" s="103">
        <v>31</v>
      </c>
      <c r="Q209" s="103">
        <v>36</v>
      </c>
      <c r="R209" s="103">
        <v>36</v>
      </c>
      <c r="S209" s="79"/>
      <c r="T209" s="80"/>
      <c r="U209" s="79"/>
      <c r="V209" s="79"/>
    </row>
    <row r="210" spans="1:22" ht="15.75">
      <c r="A210" s="33">
        <v>208</v>
      </c>
      <c r="B210" s="16" t="s">
        <v>784</v>
      </c>
      <c r="C210" s="52" t="s">
        <v>739</v>
      </c>
      <c r="D210" t="str">
        <f>"9040102"</f>
        <v>9040102</v>
      </c>
      <c r="E210" s="52" t="s">
        <v>468</v>
      </c>
      <c r="F210" s="16" t="s">
        <v>25</v>
      </c>
      <c r="G210" s="52" t="s">
        <v>785</v>
      </c>
      <c r="H210" s="16" t="s">
        <v>25</v>
      </c>
      <c r="I210" s="29">
        <v>1960</v>
      </c>
      <c r="J210" s="29" t="s">
        <v>139</v>
      </c>
      <c r="K210" s="52" t="s">
        <v>139</v>
      </c>
      <c r="L210" s="16"/>
      <c r="M210" s="103">
        <v>9</v>
      </c>
      <c r="N210" s="103">
        <v>13</v>
      </c>
      <c r="O210" s="103">
        <v>20</v>
      </c>
      <c r="P210" s="103">
        <v>20</v>
      </c>
      <c r="Q210" s="103">
        <v>17</v>
      </c>
      <c r="R210" s="103">
        <v>17</v>
      </c>
      <c r="S210" s="79"/>
      <c r="T210" s="80"/>
      <c r="U210" s="79"/>
      <c r="V210" s="79"/>
    </row>
    <row r="211" spans="1:22" ht="15.75">
      <c r="A211" s="33">
        <v>209</v>
      </c>
      <c r="B211" s="16" t="s">
        <v>784</v>
      </c>
      <c r="C211" s="52" t="s">
        <v>742</v>
      </c>
      <c r="D211" s="76" t="str">
        <f>"9040104"</f>
        <v>9040104</v>
      </c>
      <c r="E211" s="52" t="s">
        <v>468</v>
      </c>
      <c r="F211" s="16" t="s">
        <v>25</v>
      </c>
      <c r="G211" s="52" t="s">
        <v>785</v>
      </c>
      <c r="H211" s="16" t="s">
        <v>25</v>
      </c>
      <c r="I211" s="29">
        <v>2014</v>
      </c>
      <c r="J211" s="29" t="s">
        <v>139</v>
      </c>
      <c r="K211" s="52" t="s">
        <v>91</v>
      </c>
      <c r="L211" s="16"/>
      <c r="M211" s="103">
        <v>42</v>
      </c>
      <c r="N211" s="103">
        <v>38</v>
      </c>
      <c r="O211" s="103">
        <v>44</v>
      </c>
      <c r="P211" s="103">
        <v>38</v>
      </c>
      <c r="Q211" s="103">
        <v>30</v>
      </c>
      <c r="R211" s="103">
        <v>39</v>
      </c>
      <c r="S211" s="79"/>
      <c r="T211" s="80"/>
      <c r="U211" s="79"/>
      <c r="V211" s="79"/>
    </row>
    <row r="212" spans="1:22" ht="15.75">
      <c r="A212" s="33">
        <v>210</v>
      </c>
      <c r="B212" s="16" t="s">
        <v>784</v>
      </c>
      <c r="C212" s="52" t="s">
        <v>746</v>
      </c>
      <c r="D212" t="str">
        <f>"9040107"</f>
        <v>9040107</v>
      </c>
      <c r="E212" s="52" t="s">
        <v>468</v>
      </c>
      <c r="F212" s="16" t="s">
        <v>25</v>
      </c>
      <c r="G212" s="52" t="s">
        <v>785</v>
      </c>
      <c r="H212" s="16" t="s">
        <v>25</v>
      </c>
      <c r="I212" s="29">
        <v>1953</v>
      </c>
      <c r="J212" s="29" t="s">
        <v>790</v>
      </c>
      <c r="K212" s="52" t="s">
        <v>139</v>
      </c>
      <c r="L212" s="16"/>
      <c r="M212" s="103">
        <v>19</v>
      </c>
      <c r="N212" s="103">
        <v>17</v>
      </c>
      <c r="O212" s="104"/>
      <c r="P212" s="103"/>
      <c r="Q212" s="103"/>
      <c r="R212" s="103"/>
      <c r="S212" s="79"/>
      <c r="T212" s="80"/>
      <c r="U212" s="79"/>
      <c r="V212" s="79"/>
    </row>
    <row r="213" spans="1:22" ht="15.75">
      <c r="A213" s="33">
        <v>211</v>
      </c>
      <c r="B213" s="16" t="s">
        <v>784</v>
      </c>
      <c r="C213" s="52" t="s">
        <v>748</v>
      </c>
      <c r="D213" t="str">
        <f>"9040109"</f>
        <v>9040109</v>
      </c>
      <c r="E213" s="52" t="s">
        <v>468</v>
      </c>
      <c r="F213" s="16" t="s">
        <v>25</v>
      </c>
      <c r="G213" s="52" t="s">
        <v>785</v>
      </c>
      <c r="H213" s="16" t="s">
        <v>25</v>
      </c>
      <c r="I213" s="91"/>
      <c r="J213" s="91" t="s">
        <v>789</v>
      </c>
      <c r="K213" s="52" t="s">
        <v>91</v>
      </c>
      <c r="L213" s="16"/>
      <c r="M213" s="103">
        <v>36</v>
      </c>
      <c r="N213" s="103">
        <v>33</v>
      </c>
      <c r="O213" s="103">
        <v>23</v>
      </c>
      <c r="P213" s="103">
        <v>24</v>
      </c>
      <c r="Q213" s="103">
        <v>25</v>
      </c>
      <c r="R213" s="103">
        <v>23</v>
      </c>
      <c r="S213" s="79"/>
      <c r="T213" s="80"/>
      <c r="U213" s="79"/>
      <c r="V213" s="79"/>
    </row>
    <row r="214" spans="1:22" ht="15.75">
      <c r="A214" s="33">
        <v>212</v>
      </c>
      <c r="B214" s="16" t="s">
        <v>784</v>
      </c>
      <c r="C214" s="52" t="s">
        <v>752</v>
      </c>
      <c r="D214" t="str">
        <f>"9040112"</f>
        <v>9040112</v>
      </c>
      <c r="E214" s="52" t="s">
        <v>468</v>
      </c>
      <c r="F214" s="16" t="s">
        <v>25</v>
      </c>
      <c r="G214" s="52" t="s">
        <v>785</v>
      </c>
      <c r="H214" s="16" t="s">
        <v>791</v>
      </c>
      <c r="I214" s="29">
        <v>1998</v>
      </c>
      <c r="J214" s="91" t="s">
        <v>139</v>
      </c>
      <c r="K214" s="52" t="s">
        <v>91</v>
      </c>
      <c r="L214" s="16"/>
      <c r="M214" s="103">
        <v>16</v>
      </c>
      <c r="N214" s="103">
        <v>22</v>
      </c>
      <c r="O214" s="103">
        <v>17</v>
      </c>
      <c r="P214" s="103">
        <v>17</v>
      </c>
      <c r="Q214" s="103">
        <v>17</v>
      </c>
      <c r="R214" s="103">
        <v>15</v>
      </c>
      <c r="S214" s="79"/>
      <c r="T214" s="80"/>
      <c r="U214" s="79"/>
      <c r="V214" s="79"/>
    </row>
    <row r="215" spans="1:22" ht="15.75">
      <c r="A215" s="33">
        <v>213</v>
      </c>
      <c r="B215" s="16" t="s">
        <v>784</v>
      </c>
      <c r="C215" s="52" t="s">
        <v>754</v>
      </c>
      <c r="D215" s="76" t="str">
        <f>"9040121"</f>
        <v>9040121</v>
      </c>
      <c r="E215" s="52" t="s">
        <v>468</v>
      </c>
      <c r="F215" s="16" t="s">
        <v>25</v>
      </c>
      <c r="G215" s="52" t="s">
        <v>785</v>
      </c>
      <c r="H215" s="16" t="s">
        <v>797</v>
      </c>
      <c r="I215" s="29">
        <v>1950</v>
      </c>
      <c r="J215" s="91" t="s">
        <v>789</v>
      </c>
      <c r="K215" s="52" t="s">
        <v>91</v>
      </c>
      <c r="L215" s="16"/>
      <c r="M215" s="103">
        <v>7</v>
      </c>
      <c r="N215" s="103">
        <v>5</v>
      </c>
      <c r="O215" s="103">
        <v>7</v>
      </c>
      <c r="P215" s="103">
        <v>9</v>
      </c>
      <c r="Q215" s="103">
        <v>5</v>
      </c>
      <c r="R215" s="103">
        <v>5</v>
      </c>
      <c r="S215" s="79"/>
      <c r="T215" s="80"/>
      <c r="U215" s="79"/>
      <c r="V215" s="79"/>
    </row>
    <row r="216" spans="1:22" ht="15.75">
      <c r="A216" s="33">
        <v>214</v>
      </c>
      <c r="B216" s="16" t="s">
        <v>784</v>
      </c>
      <c r="C216" s="52" t="s">
        <v>756</v>
      </c>
      <c r="D216" t="str">
        <f>"9040123"</f>
        <v>9040123</v>
      </c>
      <c r="E216" s="52" t="s">
        <v>468</v>
      </c>
      <c r="F216" s="16" t="s">
        <v>25</v>
      </c>
      <c r="G216" s="52" t="s">
        <v>785</v>
      </c>
      <c r="H216" s="16" t="s">
        <v>52</v>
      </c>
      <c r="I216" s="29">
        <v>1997</v>
      </c>
      <c r="J216" s="29" t="s">
        <v>139</v>
      </c>
      <c r="K216" s="52" t="s">
        <v>91</v>
      </c>
      <c r="L216" s="16"/>
      <c r="M216" s="103">
        <v>34</v>
      </c>
      <c r="N216" s="103">
        <v>33</v>
      </c>
      <c r="O216" s="103">
        <v>29</v>
      </c>
      <c r="P216" s="103">
        <v>28</v>
      </c>
      <c r="Q216" s="103">
        <v>25</v>
      </c>
      <c r="R216" s="103">
        <v>20</v>
      </c>
      <c r="S216" s="79"/>
      <c r="T216" s="80"/>
      <c r="U216" s="79"/>
      <c r="V216" s="79"/>
    </row>
    <row r="217" spans="1:22" ht="15.75">
      <c r="A217" s="33">
        <v>215</v>
      </c>
      <c r="B217" s="16" t="s">
        <v>784</v>
      </c>
      <c r="C217" s="52" t="s">
        <v>759</v>
      </c>
      <c r="D217" t="str">
        <f>"9040137"</f>
        <v>9040137</v>
      </c>
      <c r="E217" s="52" t="s">
        <v>468</v>
      </c>
      <c r="F217" s="16" t="s">
        <v>25</v>
      </c>
      <c r="G217" s="52" t="s">
        <v>785</v>
      </c>
      <c r="H217" s="16" t="s">
        <v>800</v>
      </c>
      <c r="I217" s="29">
        <v>1995</v>
      </c>
      <c r="J217" s="91" t="s">
        <v>789</v>
      </c>
      <c r="K217" s="52" t="s">
        <v>139</v>
      </c>
      <c r="L217" s="16"/>
      <c r="M217" s="103">
        <v>25</v>
      </c>
      <c r="N217" s="103">
        <v>29</v>
      </c>
      <c r="O217" s="103">
        <v>29</v>
      </c>
      <c r="P217" s="103">
        <v>28</v>
      </c>
      <c r="Q217" s="103">
        <v>21</v>
      </c>
      <c r="R217" s="103">
        <v>17</v>
      </c>
      <c r="S217" s="79"/>
      <c r="T217" s="80"/>
      <c r="U217" s="79"/>
      <c r="V217" s="79"/>
    </row>
    <row r="218" spans="1:22" ht="15.75">
      <c r="A218" s="33">
        <v>216</v>
      </c>
      <c r="B218" s="16" t="s">
        <v>784</v>
      </c>
      <c r="C218" s="52" t="s">
        <v>761</v>
      </c>
      <c r="D218" s="116" t="str">
        <f>"9040147"</f>
        <v>9040147</v>
      </c>
      <c r="E218" s="52" t="s">
        <v>468</v>
      </c>
      <c r="F218" s="16" t="s">
        <v>25</v>
      </c>
      <c r="G218" s="52" t="s">
        <v>785</v>
      </c>
      <c r="H218" s="16" t="s">
        <v>801</v>
      </c>
      <c r="I218" s="29">
        <v>1958</v>
      </c>
      <c r="J218" s="91" t="s">
        <v>789</v>
      </c>
      <c r="K218" s="52" t="s">
        <v>91</v>
      </c>
      <c r="L218" s="16"/>
      <c r="M218" s="103">
        <v>15</v>
      </c>
      <c r="N218" s="103">
        <v>16</v>
      </c>
      <c r="O218" s="103">
        <v>21</v>
      </c>
      <c r="P218" s="103">
        <v>19</v>
      </c>
      <c r="Q218" s="103">
        <v>14</v>
      </c>
      <c r="R218" s="103">
        <v>15</v>
      </c>
      <c r="S218" s="79"/>
      <c r="T218" s="80"/>
      <c r="U218" s="79"/>
      <c r="V218" s="79"/>
    </row>
    <row r="219" spans="1:22" ht="15.75">
      <c r="A219" s="33">
        <v>217</v>
      </c>
      <c r="B219" s="16" t="s">
        <v>784</v>
      </c>
      <c r="C219" s="52" t="s">
        <v>762</v>
      </c>
      <c r="D219" t="str">
        <f>"9040148"</f>
        <v>9040148</v>
      </c>
      <c r="E219" s="52" t="s">
        <v>468</v>
      </c>
      <c r="F219" s="16" t="s">
        <v>25</v>
      </c>
      <c r="G219" s="52" t="s">
        <v>785</v>
      </c>
      <c r="H219" s="16" t="s">
        <v>802</v>
      </c>
      <c r="I219" s="91"/>
      <c r="J219" s="91" t="s">
        <v>789</v>
      </c>
      <c r="K219" s="52" t="s">
        <v>91</v>
      </c>
      <c r="L219" s="16"/>
      <c r="M219" s="103">
        <v>8</v>
      </c>
      <c r="N219" s="103">
        <v>8</v>
      </c>
      <c r="O219" s="103">
        <v>7</v>
      </c>
      <c r="P219" s="103">
        <v>11</v>
      </c>
      <c r="Q219" s="103">
        <v>13</v>
      </c>
      <c r="R219" s="103">
        <v>9</v>
      </c>
      <c r="S219" s="79"/>
      <c r="T219" s="80"/>
      <c r="U219" s="79"/>
      <c r="V219" s="79"/>
    </row>
    <row r="220" spans="1:22" ht="15.75">
      <c r="A220" s="33">
        <v>218</v>
      </c>
      <c r="B220" s="16" t="s">
        <v>784</v>
      </c>
      <c r="C220" s="52" t="s">
        <v>782</v>
      </c>
      <c r="D220" t="str">
        <f>"9040194"</f>
        <v>9040194</v>
      </c>
      <c r="E220" s="52" t="s">
        <v>468</v>
      </c>
      <c r="F220" s="16" t="s">
        <v>25</v>
      </c>
      <c r="G220" s="52" t="s">
        <v>785</v>
      </c>
      <c r="H220" s="16" t="s">
        <v>825</v>
      </c>
      <c r="I220" s="29">
        <v>1966</v>
      </c>
      <c r="J220" s="29" t="s">
        <v>91</v>
      </c>
      <c r="K220" s="52" t="s">
        <v>91</v>
      </c>
      <c r="L220" s="16"/>
      <c r="M220" s="103">
        <v>33</v>
      </c>
      <c r="N220" s="103">
        <v>34</v>
      </c>
      <c r="O220" s="103">
        <v>28</v>
      </c>
      <c r="P220" s="103">
        <v>25</v>
      </c>
      <c r="Q220" s="103">
        <v>17</v>
      </c>
      <c r="R220" s="103">
        <v>16</v>
      </c>
      <c r="S220" s="79"/>
      <c r="T220" s="80"/>
      <c r="U220" s="79"/>
      <c r="V220" s="79"/>
    </row>
    <row r="221" spans="1:22" ht="15.75">
      <c r="A221" s="33">
        <v>219</v>
      </c>
      <c r="B221" s="16" t="s">
        <v>784</v>
      </c>
      <c r="C221" s="52" t="s">
        <v>783</v>
      </c>
      <c r="D221" t="str">
        <f>"9040201"</f>
        <v>9040201</v>
      </c>
      <c r="E221" s="52" t="s">
        <v>468</v>
      </c>
      <c r="F221" s="16" t="s">
        <v>25</v>
      </c>
      <c r="G221" s="52" t="s">
        <v>785</v>
      </c>
      <c r="H221" s="16" t="s">
        <v>828</v>
      </c>
      <c r="I221" s="91"/>
      <c r="J221" s="91" t="s">
        <v>789</v>
      </c>
      <c r="K221" s="52" t="s">
        <v>91</v>
      </c>
      <c r="L221" s="16"/>
      <c r="M221" s="103">
        <v>0</v>
      </c>
      <c r="N221" s="103">
        <v>5</v>
      </c>
      <c r="O221" s="103">
        <v>7</v>
      </c>
      <c r="P221" s="103">
        <v>7</v>
      </c>
      <c r="Q221" s="103">
        <v>7</v>
      </c>
      <c r="R221" s="103">
        <v>5</v>
      </c>
      <c r="S221" s="79"/>
      <c r="T221" s="80"/>
      <c r="U221" s="79"/>
      <c r="V221" s="79"/>
    </row>
    <row r="222" spans="1:22" ht="15.75">
      <c r="A222" s="33">
        <v>220</v>
      </c>
      <c r="B222" s="16" t="s">
        <v>784</v>
      </c>
      <c r="C222" s="52" t="s">
        <v>777</v>
      </c>
      <c r="D222" t="str">
        <f>"9040209"</f>
        <v>9040209</v>
      </c>
      <c r="E222" s="52" t="s">
        <v>468</v>
      </c>
      <c r="F222" s="16" t="s">
        <v>25</v>
      </c>
      <c r="G222" s="52" t="s">
        <v>785</v>
      </c>
      <c r="H222" s="16" t="s">
        <v>818</v>
      </c>
      <c r="I222" s="91"/>
      <c r="J222" s="91" t="s">
        <v>789</v>
      </c>
      <c r="K222" s="52" t="s">
        <v>91</v>
      </c>
      <c r="L222" s="16"/>
      <c r="M222" s="103">
        <v>10</v>
      </c>
      <c r="N222" s="103">
        <v>8</v>
      </c>
      <c r="O222" s="103">
        <v>7</v>
      </c>
      <c r="P222" s="103">
        <v>8</v>
      </c>
      <c r="Q222" s="103">
        <v>5</v>
      </c>
      <c r="R222" s="103">
        <v>5</v>
      </c>
      <c r="S222" s="79"/>
      <c r="T222" s="80"/>
      <c r="U222" s="79"/>
      <c r="V222" s="79"/>
    </row>
    <row r="223" spans="1:22" ht="15.75">
      <c r="A223" s="33">
        <v>221</v>
      </c>
      <c r="B223" s="16" t="s">
        <v>784</v>
      </c>
      <c r="C223" s="52" t="s">
        <v>763</v>
      </c>
      <c r="D223" t="str">
        <f>"9040210"</f>
        <v>9040210</v>
      </c>
      <c r="E223" s="52" t="s">
        <v>468</v>
      </c>
      <c r="F223" s="16" t="s">
        <v>25</v>
      </c>
      <c r="G223" s="52" t="s">
        <v>785</v>
      </c>
      <c r="H223" s="16" t="s">
        <v>803</v>
      </c>
      <c r="I223" s="29">
        <v>1996</v>
      </c>
      <c r="J223" s="29" t="s">
        <v>139</v>
      </c>
      <c r="K223" s="52" t="s">
        <v>139</v>
      </c>
      <c r="L223" s="16"/>
      <c r="M223" s="103">
        <v>18</v>
      </c>
      <c r="N223" s="103">
        <v>16</v>
      </c>
      <c r="O223" s="103">
        <v>13</v>
      </c>
      <c r="P223" s="103">
        <v>9</v>
      </c>
      <c r="Q223" s="103">
        <v>10</v>
      </c>
      <c r="R223" s="103">
        <v>14</v>
      </c>
      <c r="S223" s="79"/>
      <c r="T223" s="80"/>
      <c r="U223" s="79"/>
      <c r="V223" s="79"/>
    </row>
    <row r="224" spans="1:22" ht="15.75">
      <c r="A224" s="33">
        <v>222</v>
      </c>
      <c r="B224" s="16" t="s">
        <v>784</v>
      </c>
      <c r="C224" s="52" t="s">
        <v>744</v>
      </c>
      <c r="D224" t="str">
        <f>"9040211"</f>
        <v>9040211</v>
      </c>
      <c r="E224" s="52" t="s">
        <v>468</v>
      </c>
      <c r="F224" s="16" t="s">
        <v>25</v>
      </c>
      <c r="G224" s="52" t="s">
        <v>785</v>
      </c>
      <c r="H224" s="16" t="s">
        <v>25</v>
      </c>
      <c r="I224" s="29">
        <v>1993</v>
      </c>
      <c r="J224" s="29" t="s">
        <v>139</v>
      </c>
      <c r="K224" s="52" t="s">
        <v>91</v>
      </c>
      <c r="L224" s="16"/>
      <c r="M224" s="103">
        <v>57</v>
      </c>
      <c r="N224" s="103">
        <v>56</v>
      </c>
      <c r="O224" s="103">
        <v>58</v>
      </c>
      <c r="P224" s="103">
        <v>60</v>
      </c>
      <c r="Q224" s="103">
        <v>56</v>
      </c>
      <c r="R224" s="103">
        <v>57</v>
      </c>
      <c r="S224" s="79"/>
      <c r="T224" s="80"/>
      <c r="U224" s="79"/>
      <c r="V224" s="79"/>
    </row>
    <row r="225" spans="1:22" ht="15.75">
      <c r="A225" s="33">
        <v>223</v>
      </c>
      <c r="B225" s="16" t="s">
        <v>784</v>
      </c>
      <c r="C225" s="52" t="s">
        <v>740</v>
      </c>
      <c r="D225" t="str">
        <f>"9040228"</f>
        <v>9040228</v>
      </c>
      <c r="E225" s="52" t="s">
        <v>468</v>
      </c>
      <c r="F225" s="16" t="s">
        <v>25</v>
      </c>
      <c r="G225" s="52" t="s">
        <v>785</v>
      </c>
      <c r="H225" s="16" t="s">
        <v>795</v>
      </c>
      <c r="I225" s="29">
        <v>1972</v>
      </c>
      <c r="J225" s="91" t="s">
        <v>789</v>
      </c>
      <c r="K225" s="52" t="s">
        <v>91</v>
      </c>
      <c r="L225" s="16"/>
      <c r="M225" s="103">
        <v>22</v>
      </c>
      <c r="N225" s="103">
        <v>25</v>
      </c>
      <c r="O225" s="103">
        <v>23</v>
      </c>
      <c r="P225" s="103">
        <v>16</v>
      </c>
      <c r="Q225" s="103">
        <v>16</v>
      </c>
      <c r="R225" s="103">
        <v>21</v>
      </c>
      <c r="S225" s="79"/>
      <c r="T225" s="80"/>
      <c r="U225" s="79"/>
      <c r="V225" s="79"/>
    </row>
    <row r="226" spans="1:22" ht="15.75">
      <c r="A226" s="33">
        <v>224</v>
      </c>
      <c r="B226" s="16" t="s">
        <v>784</v>
      </c>
      <c r="C226" s="52" t="s">
        <v>779</v>
      </c>
      <c r="D226" t="str">
        <f>"9040232"</f>
        <v>9040232</v>
      </c>
      <c r="E226" s="52" t="s">
        <v>468</v>
      </c>
      <c r="F226" s="16" t="s">
        <v>25</v>
      </c>
      <c r="G226" s="52" t="s">
        <v>785</v>
      </c>
      <c r="H226" s="16" t="s">
        <v>820</v>
      </c>
      <c r="I226" s="91"/>
      <c r="J226" s="91" t="s">
        <v>789</v>
      </c>
      <c r="K226" s="52" t="s">
        <v>91</v>
      </c>
      <c r="L226" s="16"/>
      <c r="M226" s="103">
        <v>6</v>
      </c>
      <c r="N226" s="103">
        <v>0</v>
      </c>
      <c r="O226" s="103">
        <v>5</v>
      </c>
      <c r="P226" s="103">
        <v>7</v>
      </c>
      <c r="Q226" s="103">
        <v>7</v>
      </c>
      <c r="R226" s="103">
        <v>7</v>
      </c>
      <c r="S226" s="79"/>
      <c r="T226" s="80"/>
      <c r="U226" s="79"/>
      <c r="V226" s="79"/>
    </row>
    <row r="227" spans="1:22" ht="15.75">
      <c r="A227" s="33">
        <v>225</v>
      </c>
      <c r="B227" s="16" t="s">
        <v>784</v>
      </c>
      <c r="C227" s="52" t="s">
        <v>780</v>
      </c>
      <c r="D227" s="76" t="str">
        <f>"9040237"</f>
        <v>9040237</v>
      </c>
      <c r="E227" s="52" t="s">
        <v>468</v>
      </c>
      <c r="F227" s="16" t="s">
        <v>25</v>
      </c>
      <c r="G227" s="52" t="s">
        <v>785</v>
      </c>
      <c r="H227" s="16" t="s">
        <v>821</v>
      </c>
      <c r="I227" s="29">
        <v>1929</v>
      </c>
      <c r="J227" s="91" t="s">
        <v>789</v>
      </c>
      <c r="K227" s="52" t="s">
        <v>91</v>
      </c>
      <c r="L227" s="16"/>
      <c r="M227" s="104"/>
      <c r="N227" s="104"/>
      <c r="O227" s="104"/>
      <c r="P227" s="103"/>
      <c r="Q227" s="103"/>
      <c r="R227" s="103"/>
      <c r="S227" s="79"/>
      <c r="T227" s="80"/>
      <c r="U227" s="79"/>
      <c r="V227" s="79"/>
    </row>
    <row r="228" spans="1:22" ht="15.75">
      <c r="A228" s="33">
        <v>226</v>
      </c>
      <c r="B228" s="16" t="s">
        <v>784</v>
      </c>
      <c r="C228" s="52" t="s">
        <v>737</v>
      </c>
      <c r="D228" t="str">
        <f>"9040242"</f>
        <v>9040242</v>
      </c>
      <c r="E228" s="52" t="s">
        <v>468</v>
      </c>
      <c r="F228" s="16" t="s">
        <v>25</v>
      </c>
      <c r="G228" s="52" t="s">
        <v>785</v>
      </c>
      <c r="H228" s="16" t="s">
        <v>25</v>
      </c>
      <c r="I228" s="29">
        <v>1994</v>
      </c>
      <c r="J228" s="91" t="s">
        <v>789</v>
      </c>
      <c r="K228" s="52" t="s">
        <v>91</v>
      </c>
      <c r="L228" s="16"/>
      <c r="M228" s="103">
        <v>31</v>
      </c>
      <c r="N228" s="103">
        <v>28</v>
      </c>
      <c r="O228" s="103">
        <v>25</v>
      </c>
      <c r="P228" s="103">
        <v>28</v>
      </c>
      <c r="Q228" s="103">
        <v>40</v>
      </c>
      <c r="R228" s="103">
        <v>41</v>
      </c>
      <c r="S228" s="79"/>
      <c r="T228" s="80"/>
      <c r="U228" s="79"/>
      <c r="V228" s="79"/>
    </row>
    <row r="229" spans="1:22" ht="15.75">
      <c r="A229" s="33">
        <v>227</v>
      </c>
      <c r="B229" s="16" t="s">
        <v>784</v>
      </c>
      <c r="C229" s="52" t="s">
        <v>764</v>
      </c>
      <c r="D229" t="str">
        <f>"9040243"</f>
        <v>9040243</v>
      </c>
      <c r="E229" s="52" t="s">
        <v>468</v>
      </c>
      <c r="F229" s="16" t="s">
        <v>25</v>
      </c>
      <c r="G229" s="52" t="s">
        <v>785</v>
      </c>
      <c r="H229" s="16" t="s">
        <v>804</v>
      </c>
      <c r="I229" s="29">
        <v>1990</v>
      </c>
      <c r="J229" s="91" t="s">
        <v>789</v>
      </c>
      <c r="K229" s="52" t="s">
        <v>91</v>
      </c>
      <c r="L229" s="16"/>
      <c r="M229" s="104"/>
      <c r="N229" s="104"/>
      <c r="O229" s="104"/>
      <c r="P229" s="103"/>
      <c r="Q229" s="103"/>
      <c r="R229" s="103"/>
      <c r="S229" s="79"/>
      <c r="T229" s="80"/>
      <c r="U229" s="79"/>
      <c r="V229" s="79"/>
    </row>
    <row r="230" spans="1:22" ht="15.75">
      <c r="A230" s="33">
        <v>228</v>
      </c>
      <c r="B230" s="16" t="s">
        <v>784</v>
      </c>
      <c r="C230" s="52" t="s">
        <v>758</v>
      </c>
      <c r="D230" t="str">
        <f>"9040251"</f>
        <v>9040251</v>
      </c>
      <c r="E230" s="52" t="s">
        <v>468</v>
      </c>
      <c r="F230" s="16" t="s">
        <v>25</v>
      </c>
      <c r="G230" s="52" t="s">
        <v>785</v>
      </c>
      <c r="H230" s="16" t="s">
        <v>799</v>
      </c>
      <c r="I230" s="29">
        <v>1980</v>
      </c>
      <c r="J230" s="29" t="s">
        <v>139</v>
      </c>
      <c r="K230" s="52" t="s">
        <v>91</v>
      </c>
      <c r="L230" s="16"/>
      <c r="M230" s="103">
        <v>10</v>
      </c>
      <c r="N230" s="103">
        <v>8</v>
      </c>
      <c r="O230" s="103">
        <v>5</v>
      </c>
      <c r="P230" s="103">
        <v>0</v>
      </c>
      <c r="Q230" s="103">
        <v>5</v>
      </c>
      <c r="R230" s="103">
        <v>5</v>
      </c>
      <c r="S230" s="79"/>
      <c r="T230" s="80"/>
      <c r="U230" s="79"/>
      <c r="V230" s="79"/>
    </row>
    <row r="231" spans="1:22" ht="15.75">
      <c r="A231" s="33">
        <v>229</v>
      </c>
      <c r="B231" s="16" t="s">
        <v>784</v>
      </c>
      <c r="C231" s="52" t="s">
        <v>738</v>
      </c>
      <c r="D231" t="str">
        <f>"9040261"</f>
        <v>9040261</v>
      </c>
      <c r="E231" s="52" t="s">
        <v>468</v>
      </c>
      <c r="F231" s="16" t="s">
        <v>25</v>
      </c>
      <c r="G231" s="52" t="s">
        <v>785</v>
      </c>
      <c r="H231" s="16" t="s">
        <v>25</v>
      </c>
      <c r="I231" s="29">
        <v>2003</v>
      </c>
      <c r="J231" s="29" t="s">
        <v>139</v>
      </c>
      <c r="K231" s="52" t="s">
        <v>91</v>
      </c>
      <c r="L231" s="16"/>
      <c r="M231" s="103">
        <v>33</v>
      </c>
      <c r="N231" s="103">
        <v>32</v>
      </c>
      <c r="O231" s="103">
        <v>39</v>
      </c>
      <c r="P231" s="103">
        <v>45</v>
      </c>
      <c r="Q231" s="103">
        <v>51</v>
      </c>
      <c r="R231" s="103">
        <v>43</v>
      </c>
      <c r="S231" s="79"/>
      <c r="T231" s="80"/>
      <c r="U231" s="79"/>
      <c r="V231" s="79"/>
    </row>
    <row r="232" spans="1:22" ht="15.75">
      <c r="A232" s="33">
        <v>230</v>
      </c>
      <c r="B232" s="16" t="s">
        <v>784</v>
      </c>
      <c r="C232" s="52" t="s">
        <v>760</v>
      </c>
      <c r="D232" s="76" t="str">
        <f>"9040268"</f>
        <v>9040268</v>
      </c>
      <c r="E232" s="52" t="s">
        <v>468</v>
      </c>
      <c r="F232" s="16" t="s">
        <v>25</v>
      </c>
      <c r="G232" s="52" t="s">
        <v>785</v>
      </c>
      <c r="H232" s="16" t="s">
        <v>236</v>
      </c>
      <c r="I232" s="29">
        <v>1997</v>
      </c>
      <c r="J232" s="29" t="s">
        <v>139</v>
      </c>
      <c r="K232" s="52" t="s">
        <v>91</v>
      </c>
      <c r="L232" s="16"/>
      <c r="M232" s="103">
        <v>22</v>
      </c>
      <c r="N232" s="103">
        <v>18</v>
      </c>
      <c r="O232" s="103">
        <v>15</v>
      </c>
      <c r="P232" s="103">
        <v>18</v>
      </c>
      <c r="Q232" s="103">
        <v>13</v>
      </c>
      <c r="R232" s="103">
        <v>16</v>
      </c>
      <c r="S232" s="79"/>
      <c r="T232" s="79"/>
      <c r="U232" s="79"/>
      <c r="V232" s="79"/>
    </row>
    <row r="233" spans="1:22" ht="15.75">
      <c r="A233" s="33">
        <v>231</v>
      </c>
      <c r="B233" s="16" t="s">
        <v>784</v>
      </c>
      <c r="C233" s="52" t="s">
        <v>767</v>
      </c>
      <c r="D233" t="str">
        <f>"9040270"</f>
        <v>9040270</v>
      </c>
      <c r="E233" s="52" t="s">
        <v>468</v>
      </c>
      <c r="F233" s="16" t="s">
        <v>25</v>
      </c>
      <c r="G233" s="52" t="s">
        <v>785</v>
      </c>
      <c r="H233" s="16" t="s">
        <v>827</v>
      </c>
      <c r="I233" s="91"/>
      <c r="J233" s="91" t="s">
        <v>789</v>
      </c>
      <c r="K233" s="52" t="s">
        <v>91</v>
      </c>
      <c r="L233" s="16"/>
      <c r="M233" s="103">
        <v>5</v>
      </c>
      <c r="N233" s="103">
        <v>4</v>
      </c>
      <c r="O233" s="103">
        <v>6</v>
      </c>
      <c r="P233" s="103">
        <v>6</v>
      </c>
      <c r="Q233" s="103">
        <v>5</v>
      </c>
      <c r="R233" s="103">
        <v>7</v>
      </c>
      <c r="S233" s="79"/>
      <c r="T233" s="79"/>
      <c r="U233" s="79"/>
      <c r="V233" s="80"/>
    </row>
    <row r="234" spans="1:22" ht="15.75">
      <c r="A234" s="33">
        <v>232</v>
      </c>
      <c r="B234" s="16" t="s">
        <v>784</v>
      </c>
      <c r="C234" s="52" t="s">
        <v>749</v>
      </c>
      <c r="D234" t="str">
        <f>"9040282"</f>
        <v>9040282</v>
      </c>
      <c r="E234" s="52" t="s">
        <v>468</v>
      </c>
      <c r="F234" s="16" t="s">
        <v>25</v>
      </c>
      <c r="G234" s="52" t="s">
        <v>785</v>
      </c>
      <c r="H234" s="16" t="s">
        <v>25</v>
      </c>
      <c r="I234" s="91"/>
      <c r="J234" s="91" t="s">
        <v>139</v>
      </c>
      <c r="K234" s="52" t="s">
        <v>91</v>
      </c>
      <c r="L234" s="16"/>
      <c r="M234" s="104"/>
      <c r="N234" s="104"/>
      <c r="O234" s="103">
        <v>3</v>
      </c>
      <c r="P234" s="103">
        <v>5</v>
      </c>
      <c r="Q234" s="103">
        <v>6</v>
      </c>
      <c r="R234" s="103">
        <v>9</v>
      </c>
      <c r="S234" s="79"/>
      <c r="T234" s="79"/>
      <c r="U234" s="79"/>
      <c r="V234" s="80"/>
    </row>
    <row r="235" spans="1:22" ht="15.75">
      <c r="A235" s="33">
        <v>233</v>
      </c>
      <c r="B235" s="16" t="s">
        <v>784</v>
      </c>
      <c r="C235" s="52" t="s">
        <v>757</v>
      </c>
      <c r="D235" t="str">
        <f>"9040023"</f>
        <v>9040023</v>
      </c>
      <c r="E235" s="52" t="s">
        <v>468</v>
      </c>
      <c r="F235" s="16" t="s">
        <v>25</v>
      </c>
      <c r="G235" s="34" t="s">
        <v>49</v>
      </c>
      <c r="H235" s="16" t="s">
        <v>53</v>
      </c>
      <c r="I235" s="29">
        <v>2004</v>
      </c>
      <c r="J235" s="91" t="s">
        <v>789</v>
      </c>
      <c r="K235" s="52" t="s">
        <v>139</v>
      </c>
      <c r="L235" s="16"/>
      <c r="M235" s="103">
        <v>3</v>
      </c>
      <c r="N235" s="103">
        <v>2</v>
      </c>
      <c r="O235" s="103">
        <v>2</v>
      </c>
      <c r="P235" s="103">
        <v>1</v>
      </c>
      <c r="Q235" s="103">
        <v>2</v>
      </c>
      <c r="R235" s="103">
        <v>3</v>
      </c>
      <c r="S235" s="79"/>
      <c r="T235" s="79"/>
      <c r="U235" s="79"/>
      <c r="V235" s="80"/>
    </row>
    <row r="236" spans="1:22" ht="15.75">
      <c r="A236" s="33">
        <v>234</v>
      </c>
      <c r="B236" s="16" t="s">
        <v>784</v>
      </c>
      <c r="C236" s="52" t="s">
        <v>770</v>
      </c>
      <c r="D236" t="str">
        <f>"9040208"</f>
        <v>9040208</v>
      </c>
      <c r="E236" s="52" t="s">
        <v>468</v>
      </c>
      <c r="F236" s="16" t="s">
        <v>25</v>
      </c>
      <c r="G236" s="34" t="s">
        <v>49</v>
      </c>
      <c r="H236" s="16" t="s">
        <v>812</v>
      </c>
      <c r="I236" s="29">
        <v>1972</v>
      </c>
      <c r="J236" s="91" t="s">
        <v>789</v>
      </c>
      <c r="K236" s="52" t="s">
        <v>91</v>
      </c>
      <c r="L236" s="16"/>
      <c r="M236" s="103">
        <v>3</v>
      </c>
      <c r="N236" s="103">
        <v>3</v>
      </c>
      <c r="O236" s="103">
        <v>1</v>
      </c>
      <c r="P236" s="103">
        <v>1</v>
      </c>
      <c r="Q236" s="103">
        <v>2</v>
      </c>
      <c r="R236" s="103">
        <v>1</v>
      </c>
      <c r="S236" s="79"/>
      <c r="T236" s="79"/>
      <c r="U236" s="79"/>
      <c r="V236" s="80"/>
    </row>
    <row r="237" spans="1:22" ht="15.75">
      <c r="A237" s="33">
        <v>235</v>
      </c>
      <c r="B237" s="16" t="s">
        <v>784</v>
      </c>
      <c r="C237" s="52" t="s">
        <v>775</v>
      </c>
      <c r="D237" s="116" t="str">
        <f>"9040229"</f>
        <v>9040229</v>
      </c>
      <c r="E237" s="52" t="s">
        <v>468</v>
      </c>
      <c r="F237" s="16" t="s">
        <v>25</v>
      </c>
      <c r="G237" s="34" t="s">
        <v>49</v>
      </c>
      <c r="H237" s="16" t="s">
        <v>679</v>
      </c>
      <c r="I237" s="29">
        <v>1950</v>
      </c>
      <c r="J237" s="91" t="s">
        <v>789</v>
      </c>
      <c r="K237" s="52" t="s">
        <v>91</v>
      </c>
      <c r="L237" s="16"/>
      <c r="M237" s="104"/>
      <c r="N237" s="104"/>
      <c r="O237" s="104"/>
      <c r="P237" s="103"/>
      <c r="Q237" s="103"/>
      <c r="R237" s="103"/>
      <c r="S237" s="79"/>
      <c r="T237" s="79"/>
      <c r="U237" s="79"/>
      <c r="V237" s="80"/>
    </row>
    <row r="238" spans="1:22" ht="15.75">
      <c r="A238" s="33">
        <v>236</v>
      </c>
      <c r="B238" s="16" t="s">
        <v>784</v>
      </c>
      <c r="C238" s="52" t="s">
        <v>773</v>
      </c>
      <c r="D238" s="116" t="str">
        <f>"9040241"</f>
        <v>9040241</v>
      </c>
      <c r="E238" s="52" t="s">
        <v>468</v>
      </c>
      <c r="F238" s="16" t="s">
        <v>25</v>
      </c>
      <c r="G238" s="34" t="s">
        <v>49</v>
      </c>
      <c r="H238" s="16" t="s">
        <v>815</v>
      </c>
      <c r="I238" s="29">
        <v>1976</v>
      </c>
      <c r="J238" s="91" t="s">
        <v>789</v>
      </c>
      <c r="K238" s="52" t="s">
        <v>91</v>
      </c>
      <c r="L238" s="16"/>
      <c r="M238" s="103">
        <v>7</v>
      </c>
      <c r="N238" s="103">
        <v>5</v>
      </c>
      <c r="O238" s="103">
        <v>8</v>
      </c>
      <c r="P238" s="103">
        <v>11</v>
      </c>
      <c r="Q238" s="103">
        <v>7</v>
      </c>
      <c r="R238" s="103">
        <v>4</v>
      </c>
      <c r="S238" s="79"/>
      <c r="T238" s="79"/>
      <c r="U238" s="79"/>
      <c r="V238" s="80"/>
    </row>
    <row r="239" spans="1:22" ht="15.75">
      <c r="A239" s="33">
        <v>237</v>
      </c>
      <c r="B239" s="16" t="s">
        <v>784</v>
      </c>
      <c r="C239" s="52" t="s">
        <v>781</v>
      </c>
      <c r="D239" t="str">
        <f>"9040253"</f>
        <v>9040253</v>
      </c>
      <c r="E239" s="52" t="s">
        <v>468</v>
      </c>
      <c r="F239" s="16" t="s">
        <v>25</v>
      </c>
      <c r="G239" s="34" t="s">
        <v>49</v>
      </c>
      <c r="H239" s="16" t="s">
        <v>823</v>
      </c>
      <c r="I239" s="29">
        <v>1952</v>
      </c>
      <c r="J239" s="91" t="s">
        <v>789</v>
      </c>
      <c r="K239" s="52" t="s">
        <v>91</v>
      </c>
      <c r="L239" s="16"/>
      <c r="M239" s="103">
        <v>1</v>
      </c>
      <c r="N239" s="103">
        <v>1</v>
      </c>
      <c r="O239" s="103">
        <v>2</v>
      </c>
      <c r="P239" s="103">
        <v>2</v>
      </c>
      <c r="Q239" s="103">
        <v>4</v>
      </c>
      <c r="R239" s="103">
        <v>2</v>
      </c>
      <c r="S239" s="79"/>
      <c r="T239" s="79"/>
      <c r="U239" s="79"/>
      <c r="V239" s="80"/>
    </row>
    <row r="240" spans="1:22" ht="15.75">
      <c r="A240" s="33">
        <v>238</v>
      </c>
      <c r="B240" s="16" t="s">
        <v>784</v>
      </c>
      <c r="C240" s="52" t="s">
        <v>765</v>
      </c>
      <c r="D240" t="str">
        <f>"9040275"</f>
        <v>9040275</v>
      </c>
      <c r="E240" s="52" t="s">
        <v>468</v>
      </c>
      <c r="F240" s="16" t="s">
        <v>25</v>
      </c>
      <c r="G240" s="34" t="s">
        <v>49</v>
      </c>
      <c r="H240" s="16" t="s">
        <v>826</v>
      </c>
      <c r="I240" s="29">
        <v>1962</v>
      </c>
      <c r="J240" s="91" t="s">
        <v>789</v>
      </c>
      <c r="K240" s="52" t="s">
        <v>91</v>
      </c>
      <c r="L240" s="16"/>
      <c r="M240" s="104"/>
      <c r="N240" s="103">
        <v>2</v>
      </c>
      <c r="O240" s="103">
        <v>5</v>
      </c>
      <c r="P240" s="103">
        <v>2</v>
      </c>
      <c r="Q240" s="103">
        <v>1</v>
      </c>
      <c r="R240" s="103">
        <v>1</v>
      </c>
      <c r="S240" s="79"/>
      <c r="T240" s="79"/>
      <c r="U240" s="79"/>
      <c r="V240" s="80"/>
    </row>
    <row r="241" spans="1:22" ht="15.75">
      <c r="A241" s="33">
        <v>239</v>
      </c>
      <c r="B241" s="16" t="s">
        <v>784</v>
      </c>
      <c r="C241" s="52" t="s">
        <v>776</v>
      </c>
      <c r="D241" t="str">
        <f>"9040277"</f>
        <v>9040277</v>
      </c>
      <c r="E241" s="52" t="s">
        <v>468</v>
      </c>
      <c r="F241" s="16" t="s">
        <v>25</v>
      </c>
      <c r="G241" s="34" t="s">
        <v>49</v>
      </c>
      <c r="H241" s="16" t="s">
        <v>817</v>
      </c>
      <c r="I241" s="29">
        <v>1954</v>
      </c>
      <c r="J241" s="91" t="s">
        <v>789</v>
      </c>
      <c r="K241" s="52" t="s">
        <v>91</v>
      </c>
      <c r="L241" s="16"/>
      <c r="M241" s="103">
        <v>5</v>
      </c>
      <c r="N241" s="103">
        <v>5</v>
      </c>
      <c r="O241" s="103">
        <v>5</v>
      </c>
      <c r="P241" s="103">
        <v>5</v>
      </c>
      <c r="Q241" s="103">
        <v>1</v>
      </c>
      <c r="R241" s="103">
        <v>1</v>
      </c>
      <c r="S241" s="79"/>
      <c r="T241" s="79"/>
      <c r="U241" s="79"/>
      <c r="V241" s="80"/>
    </row>
    <row r="242" spans="1:22" ht="15.75">
      <c r="A242" s="33">
        <v>240</v>
      </c>
      <c r="B242" s="16" t="s">
        <v>784</v>
      </c>
      <c r="C242" s="52" t="s">
        <v>753</v>
      </c>
      <c r="D242" t="str">
        <f>"9040233"</f>
        <v>9040233</v>
      </c>
      <c r="E242" s="52" t="s">
        <v>468</v>
      </c>
      <c r="F242" s="16" t="s">
        <v>25</v>
      </c>
      <c r="G242" s="34" t="s">
        <v>50</v>
      </c>
      <c r="H242" s="16" t="s">
        <v>796</v>
      </c>
      <c r="I242" s="91"/>
      <c r="J242" s="91" t="s">
        <v>789</v>
      </c>
      <c r="K242" s="52" t="s">
        <v>91</v>
      </c>
      <c r="L242" s="16"/>
      <c r="M242" s="103">
        <v>4</v>
      </c>
      <c r="N242" s="103">
        <v>6</v>
      </c>
      <c r="O242" s="103">
        <v>8</v>
      </c>
      <c r="P242" s="103">
        <v>4</v>
      </c>
      <c r="Q242" s="103">
        <v>2</v>
      </c>
      <c r="R242" s="103">
        <v>6</v>
      </c>
      <c r="S242" s="79"/>
      <c r="T242" s="79"/>
      <c r="U242" s="79"/>
      <c r="V242" s="80"/>
    </row>
    <row r="243" spans="1:22" ht="15.75">
      <c r="A243" s="33">
        <v>241</v>
      </c>
      <c r="B243" s="16" t="s">
        <v>784</v>
      </c>
      <c r="C243" s="52" t="s">
        <v>772</v>
      </c>
      <c r="D243" t="str">
        <f>"9040281"</f>
        <v>9040281</v>
      </c>
      <c r="E243" s="52" t="s">
        <v>468</v>
      </c>
      <c r="F243" s="16" t="s">
        <v>25</v>
      </c>
      <c r="G243" s="34" t="s">
        <v>50</v>
      </c>
      <c r="H243" s="16" t="s">
        <v>822</v>
      </c>
      <c r="I243" s="91"/>
      <c r="J243" s="91" t="s">
        <v>789</v>
      </c>
      <c r="K243" s="52" t="s">
        <v>91</v>
      </c>
      <c r="L243" s="16"/>
      <c r="M243" s="103">
        <v>3</v>
      </c>
      <c r="N243" s="103">
        <v>8</v>
      </c>
      <c r="O243" s="103">
        <v>8</v>
      </c>
      <c r="P243" s="103">
        <v>6</v>
      </c>
      <c r="Q243" s="103">
        <v>8</v>
      </c>
      <c r="R243" s="103">
        <v>6</v>
      </c>
      <c r="S243" s="79"/>
      <c r="T243" s="79"/>
      <c r="U243" s="79"/>
      <c r="V243" s="80"/>
    </row>
    <row r="244" spans="1:22" ht="15.75">
      <c r="A244" s="33">
        <v>242</v>
      </c>
      <c r="B244" s="16" t="s">
        <v>784</v>
      </c>
      <c r="C244" s="52" t="s">
        <v>768</v>
      </c>
      <c r="D244" t="str">
        <f>"9520960"</f>
        <v>9520960</v>
      </c>
      <c r="E244" s="52" t="s">
        <v>468</v>
      </c>
      <c r="F244" s="16" t="s">
        <v>25</v>
      </c>
      <c r="G244" s="34" t="s">
        <v>50</v>
      </c>
      <c r="H244" s="16" t="s">
        <v>808</v>
      </c>
      <c r="I244" s="29">
        <v>1927</v>
      </c>
      <c r="J244" s="91" t="s">
        <v>789</v>
      </c>
      <c r="K244" s="52" t="s">
        <v>91</v>
      </c>
      <c r="L244" s="16"/>
      <c r="M244" s="104"/>
      <c r="N244" s="104"/>
      <c r="O244" s="104"/>
      <c r="P244" s="103"/>
      <c r="Q244" s="103"/>
      <c r="R244" s="103"/>
      <c r="S244" s="79"/>
      <c r="T244" s="79"/>
      <c r="U244" s="79"/>
      <c r="V244" s="80"/>
    </row>
    <row r="245" spans="1:22" ht="15.75">
      <c r="A245" s="33">
        <v>243</v>
      </c>
      <c r="B245" s="16" t="s">
        <v>784</v>
      </c>
      <c r="C245" s="52" t="s">
        <v>778</v>
      </c>
      <c r="D245" t="str">
        <f>"9520961"</f>
        <v>9520961</v>
      </c>
      <c r="E245" s="52" t="s">
        <v>468</v>
      </c>
      <c r="F245" s="16" t="s">
        <v>25</v>
      </c>
      <c r="G245" s="34" t="s">
        <v>50</v>
      </c>
      <c r="H245" s="16" t="s">
        <v>819</v>
      </c>
      <c r="I245" s="29">
        <v>1968</v>
      </c>
      <c r="J245" s="91" t="s">
        <v>789</v>
      </c>
      <c r="K245" s="52" t="s">
        <v>91</v>
      </c>
      <c r="L245" s="16"/>
      <c r="M245" s="103">
        <v>6</v>
      </c>
      <c r="N245" s="103">
        <v>6</v>
      </c>
      <c r="O245" s="103">
        <v>5</v>
      </c>
      <c r="P245" s="103">
        <v>5</v>
      </c>
      <c r="Q245" s="103">
        <v>2</v>
      </c>
      <c r="R245" s="103">
        <v>3</v>
      </c>
      <c r="S245" s="79"/>
      <c r="T245" s="79"/>
      <c r="U245" s="79"/>
      <c r="V245" s="80"/>
    </row>
    <row r="246" spans="1:22" ht="15.75">
      <c r="A246" s="33">
        <v>244</v>
      </c>
      <c r="B246" s="16" t="s">
        <v>784</v>
      </c>
      <c r="C246" s="52" t="s">
        <v>750</v>
      </c>
      <c r="D246" t="str">
        <f>"9040012"</f>
        <v>9040012</v>
      </c>
      <c r="E246" s="52" t="s">
        <v>468</v>
      </c>
      <c r="F246" s="16" t="s">
        <v>25</v>
      </c>
      <c r="G246" s="34" t="s">
        <v>51</v>
      </c>
      <c r="H246" s="16" t="s">
        <v>25</v>
      </c>
      <c r="I246" s="91"/>
      <c r="J246" s="91" t="s">
        <v>139</v>
      </c>
      <c r="K246" s="52" t="s">
        <v>91</v>
      </c>
      <c r="L246" s="16"/>
      <c r="M246" s="103">
        <v>7</v>
      </c>
      <c r="N246" s="103">
        <v>9</v>
      </c>
      <c r="O246" s="103">
        <v>9</v>
      </c>
      <c r="P246" s="103">
        <v>9</v>
      </c>
      <c r="Q246" s="103">
        <v>6</v>
      </c>
      <c r="R246" s="103">
        <v>6</v>
      </c>
      <c r="S246" s="79"/>
      <c r="T246" s="79"/>
      <c r="U246" s="79"/>
      <c r="V246" s="80"/>
    </row>
    <row r="247" spans="1:22" ht="15.75">
      <c r="A247" s="33">
        <v>245</v>
      </c>
      <c r="B247" s="16" t="s">
        <v>784</v>
      </c>
      <c r="C247" s="52" t="s">
        <v>766</v>
      </c>
      <c r="D247" t="str">
        <f>"9040058"</f>
        <v>9040058</v>
      </c>
      <c r="E247" s="52" t="s">
        <v>468</v>
      </c>
      <c r="F247" s="16" t="s">
        <v>25</v>
      </c>
      <c r="G247" s="34" t="s">
        <v>51</v>
      </c>
      <c r="H247" s="16" t="s">
        <v>59</v>
      </c>
      <c r="I247" s="29">
        <v>1964</v>
      </c>
      <c r="J247" s="91" t="s">
        <v>789</v>
      </c>
      <c r="K247" s="52" t="s">
        <v>91</v>
      </c>
      <c r="L247" s="16"/>
      <c r="M247" s="103">
        <v>34</v>
      </c>
      <c r="N247" s="103">
        <v>36</v>
      </c>
      <c r="O247" s="103">
        <v>34</v>
      </c>
      <c r="P247" s="103">
        <v>20</v>
      </c>
      <c r="Q247" s="103">
        <v>35</v>
      </c>
      <c r="R247" s="103">
        <v>47</v>
      </c>
      <c r="S247" s="79"/>
      <c r="T247" s="79"/>
      <c r="U247" s="79"/>
      <c r="V247" s="80"/>
    </row>
    <row r="248" spans="1:22" ht="15.75">
      <c r="A248" s="33">
        <v>246</v>
      </c>
      <c r="B248" s="16" t="s">
        <v>784</v>
      </c>
      <c r="C248" s="52" t="s">
        <v>771</v>
      </c>
      <c r="D248" t="str">
        <f>"9040075"</f>
        <v>9040075</v>
      </c>
      <c r="E248" s="52" t="s">
        <v>468</v>
      </c>
      <c r="F248" s="16" t="s">
        <v>25</v>
      </c>
      <c r="G248" s="34" t="s">
        <v>51</v>
      </c>
      <c r="H248" s="16" t="s">
        <v>55</v>
      </c>
      <c r="I248" s="29">
        <v>1972</v>
      </c>
      <c r="J248" s="91" t="s">
        <v>789</v>
      </c>
      <c r="K248" s="52" t="s">
        <v>91</v>
      </c>
      <c r="L248" s="16"/>
      <c r="M248" s="103">
        <v>29</v>
      </c>
      <c r="N248" s="103">
        <v>32</v>
      </c>
      <c r="O248" s="103">
        <v>31</v>
      </c>
      <c r="P248" s="103">
        <v>25</v>
      </c>
      <c r="Q248" s="103">
        <v>26</v>
      </c>
      <c r="R248" s="103">
        <v>24</v>
      </c>
      <c r="S248" s="79"/>
      <c r="T248" s="79"/>
      <c r="U248" s="79"/>
      <c r="V248" s="80"/>
    </row>
    <row r="249" spans="1:22" ht="15.75">
      <c r="A249" s="33">
        <v>247</v>
      </c>
      <c r="B249" s="16" t="s">
        <v>784</v>
      </c>
      <c r="C249" s="52" t="s">
        <v>774</v>
      </c>
      <c r="D249" t="str">
        <f>"9040084"</f>
        <v>9040084</v>
      </c>
      <c r="E249" s="52" t="s">
        <v>468</v>
      </c>
      <c r="F249" s="16" t="s">
        <v>25</v>
      </c>
      <c r="G249" s="34" t="s">
        <v>51</v>
      </c>
      <c r="H249" s="16" t="s">
        <v>56</v>
      </c>
      <c r="I249" s="29">
        <v>1997</v>
      </c>
      <c r="J249" s="29" t="s">
        <v>139</v>
      </c>
      <c r="K249" s="52" t="s">
        <v>91</v>
      </c>
      <c r="L249" s="16"/>
      <c r="M249" s="103">
        <v>16</v>
      </c>
      <c r="N249" s="103">
        <v>16</v>
      </c>
      <c r="O249" s="103">
        <v>16</v>
      </c>
      <c r="P249" s="103">
        <v>10</v>
      </c>
      <c r="Q249" s="103">
        <v>11</v>
      </c>
      <c r="R249" s="103">
        <v>11</v>
      </c>
      <c r="S249" s="79"/>
      <c r="T249" s="79"/>
      <c r="U249" s="79"/>
      <c r="V249" s="80"/>
    </row>
    <row r="250" spans="1:22" ht="15.75">
      <c r="A250" s="33">
        <v>248</v>
      </c>
      <c r="B250" s="16" t="s">
        <v>784</v>
      </c>
      <c r="C250" s="52" t="s">
        <v>751</v>
      </c>
      <c r="D250" t="str">
        <f>"9040225"</f>
        <v>9040225</v>
      </c>
      <c r="E250" s="52" t="s">
        <v>468</v>
      </c>
      <c r="F250" s="16" t="s">
        <v>25</v>
      </c>
      <c r="G250" s="34" t="s">
        <v>51</v>
      </c>
      <c r="H250" s="16" t="s">
        <v>793</v>
      </c>
      <c r="I250" s="29">
        <v>1989</v>
      </c>
      <c r="J250" s="91" t="s">
        <v>139</v>
      </c>
      <c r="K250" s="52" t="s">
        <v>91</v>
      </c>
      <c r="L250" s="16"/>
      <c r="M250" s="103">
        <v>34</v>
      </c>
      <c r="N250" s="103">
        <v>32</v>
      </c>
      <c r="O250" s="103">
        <v>33</v>
      </c>
      <c r="P250" s="103">
        <v>38</v>
      </c>
      <c r="Q250" s="103">
        <v>34</v>
      </c>
      <c r="R250" s="103">
        <v>26</v>
      </c>
      <c r="S250" s="79"/>
      <c r="T250" s="79"/>
      <c r="U250" s="79"/>
      <c r="V250" s="80"/>
    </row>
    <row r="251" spans="1:22" ht="15.75">
      <c r="A251" s="33">
        <v>249</v>
      </c>
      <c r="B251" s="16" t="s">
        <v>784</v>
      </c>
      <c r="C251" s="52" t="s">
        <v>755</v>
      </c>
      <c r="D251" t="str">
        <f>"9040265"</f>
        <v>9040265</v>
      </c>
      <c r="E251" s="52" t="s">
        <v>468</v>
      </c>
      <c r="F251" s="16" t="s">
        <v>25</v>
      </c>
      <c r="G251" s="34" t="s">
        <v>51</v>
      </c>
      <c r="H251" s="16" t="s">
        <v>498</v>
      </c>
      <c r="I251" s="29">
        <v>1999</v>
      </c>
      <c r="J251" s="29" t="s">
        <v>139</v>
      </c>
      <c r="K251" s="52" t="s">
        <v>91</v>
      </c>
      <c r="L251" s="16"/>
      <c r="M251" s="103">
        <v>13</v>
      </c>
      <c r="N251" s="103">
        <v>9</v>
      </c>
      <c r="O251" s="103">
        <v>9</v>
      </c>
      <c r="P251" s="103">
        <v>11</v>
      </c>
      <c r="Q251" s="103">
        <v>11</v>
      </c>
      <c r="R251" s="103">
        <v>10</v>
      </c>
      <c r="S251" s="79"/>
      <c r="T251" s="79"/>
      <c r="U251" s="79"/>
      <c r="V251" s="80"/>
    </row>
    <row r="252" spans="1:22" ht="15.75">
      <c r="A252" s="33">
        <v>250</v>
      </c>
      <c r="B252" s="16" t="s">
        <v>565</v>
      </c>
      <c r="C252" s="52" t="s">
        <v>505</v>
      </c>
      <c r="D252" t="str">
        <f>"9180003"</f>
        <v>9180003</v>
      </c>
      <c r="E252" s="52" t="s">
        <v>467</v>
      </c>
      <c r="F252" s="16" t="s">
        <v>26</v>
      </c>
      <c r="G252" s="52" t="s">
        <v>129</v>
      </c>
      <c r="H252" s="16" t="s">
        <v>129</v>
      </c>
      <c r="I252" s="29">
        <v>1973</v>
      </c>
      <c r="J252" s="53" t="s">
        <v>40</v>
      </c>
      <c r="K252" s="52" t="s">
        <v>91</v>
      </c>
      <c r="L252" s="16"/>
      <c r="M252" s="101">
        <v>11</v>
      </c>
      <c r="N252" s="101">
        <v>7</v>
      </c>
      <c r="O252" s="101">
        <v>6</v>
      </c>
      <c r="P252" s="105">
        <v>8</v>
      </c>
      <c r="Q252" s="105">
        <v>6</v>
      </c>
      <c r="R252" s="105"/>
      <c r="S252" s="79"/>
      <c r="T252" s="79"/>
      <c r="U252" s="79"/>
      <c r="V252" s="80"/>
    </row>
    <row r="253" spans="1:22" ht="15.75">
      <c r="A253" s="33">
        <v>251</v>
      </c>
      <c r="B253" s="16" t="s">
        <v>565</v>
      </c>
      <c r="C253" s="52" t="s">
        <v>508</v>
      </c>
      <c r="D253" t="str">
        <f>"9180005"</f>
        <v>9180005</v>
      </c>
      <c r="E253" s="52" t="s">
        <v>467</v>
      </c>
      <c r="F253" s="16" t="s">
        <v>26</v>
      </c>
      <c r="G253" s="52" t="s">
        <v>129</v>
      </c>
      <c r="H253" s="16" t="s">
        <v>129</v>
      </c>
      <c r="I253" s="29">
        <v>1972</v>
      </c>
      <c r="J253" s="53" t="s">
        <v>39</v>
      </c>
      <c r="K253" s="52" t="s">
        <v>91</v>
      </c>
      <c r="L253" s="16"/>
      <c r="M253" s="103">
        <v>73</v>
      </c>
      <c r="N253" s="103">
        <v>63</v>
      </c>
      <c r="O253" s="103">
        <v>70</v>
      </c>
      <c r="P253" s="103">
        <v>60</v>
      </c>
      <c r="Q253" s="103">
        <v>58</v>
      </c>
      <c r="R253" s="103">
        <v>64</v>
      </c>
      <c r="S253" s="79"/>
      <c r="T253" s="79"/>
      <c r="U253" s="79"/>
      <c r="V253" s="80"/>
    </row>
    <row r="254" spans="1:22" ht="15.75">
      <c r="A254" s="33">
        <v>252</v>
      </c>
      <c r="B254" s="16" t="s">
        <v>565</v>
      </c>
      <c r="C254" s="52" t="s">
        <v>516</v>
      </c>
      <c r="D254" t="str">
        <f>"9180016"</f>
        <v>9180016</v>
      </c>
      <c r="E254" s="52" t="s">
        <v>467</v>
      </c>
      <c r="F254" s="16" t="s">
        <v>26</v>
      </c>
      <c r="G254" s="52" t="s">
        <v>129</v>
      </c>
      <c r="H254" s="16" t="s">
        <v>568</v>
      </c>
      <c r="I254" s="29">
        <v>1979</v>
      </c>
      <c r="J254" s="53" t="s">
        <v>39</v>
      </c>
      <c r="K254" s="52" t="s">
        <v>91</v>
      </c>
      <c r="L254" s="16"/>
      <c r="M254" s="103">
        <v>64</v>
      </c>
      <c r="N254" s="103">
        <v>68</v>
      </c>
      <c r="O254" s="103">
        <v>60</v>
      </c>
      <c r="P254" s="103">
        <v>65</v>
      </c>
      <c r="Q254" s="103">
        <v>71</v>
      </c>
      <c r="R254" s="103">
        <v>72</v>
      </c>
      <c r="S254" s="79"/>
      <c r="T254" s="79"/>
      <c r="U254" s="79"/>
      <c r="V254" s="80"/>
    </row>
    <row r="255" spans="1:22" ht="15.75">
      <c r="A255" s="33">
        <v>253</v>
      </c>
      <c r="B255" s="16" t="s">
        <v>565</v>
      </c>
      <c r="C255" s="52" t="s">
        <v>518</v>
      </c>
      <c r="D255" t="str">
        <f>"9180019"</f>
        <v>9180019</v>
      </c>
      <c r="E255" s="52" t="s">
        <v>467</v>
      </c>
      <c r="F255" s="16" t="s">
        <v>26</v>
      </c>
      <c r="G255" s="52" t="s">
        <v>129</v>
      </c>
      <c r="H255" s="16" t="s">
        <v>569</v>
      </c>
      <c r="I255" s="29">
        <v>1959</v>
      </c>
      <c r="J255" s="53" t="s">
        <v>40</v>
      </c>
      <c r="K255" s="52" t="s">
        <v>91</v>
      </c>
      <c r="L255" s="16"/>
      <c r="M255" s="103">
        <v>36</v>
      </c>
      <c r="N255" s="103">
        <v>35</v>
      </c>
      <c r="O255" s="103">
        <v>26</v>
      </c>
      <c r="P255" s="103">
        <v>30</v>
      </c>
      <c r="Q255" s="103">
        <v>25</v>
      </c>
      <c r="R255" s="103">
        <v>28</v>
      </c>
      <c r="S255" s="79"/>
      <c r="T255" s="79"/>
      <c r="U255" s="79"/>
      <c r="V255" s="80"/>
    </row>
    <row r="256" spans="1:22" ht="15.75">
      <c r="A256" s="33">
        <v>254</v>
      </c>
      <c r="B256" s="16" t="s">
        <v>565</v>
      </c>
      <c r="C256" s="52" t="s">
        <v>522</v>
      </c>
      <c r="D256" t="str">
        <f>"9180025"</f>
        <v>9180025</v>
      </c>
      <c r="E256" s="52" t="s">
        <v>467</v>
      </c>
      <c r="F256" s="16" t="s">
        <v>26</v>
      </c>
      <c r="G256" s="52" t="s">
        <v>129</v>
      </c>
      <c r="H256" s="16" t="s">
        <v>138</v>
      </c>
      <c r="I256" s="29">
        <v>1985</v>
      </c>
      <c r="J256" s="53" t="s">
        <v>40</v>
      </c>
      <c r="K256" s="52" t="s">
        <v>91</v>
      </c>
      <c r="L256" s="16"/>
      <c r="M256" s="103">
        <v>36</v>
      </c>
      <c r="N256" s="103">
        <v>35</v>
      </c>
      <c r="O256" s="103">
        <v>29</v>
      </c>
      <c r="P256" s="103">
        <v>23</v>
      </c>
      <c r="Q256" s="103">
        <v>26</v>
      </c>
      <c r="R256" s="103">
        <v>28</v>
      </c>
      <c r="S256" s="79"/>
      <c r="T256" s="79"/>
      <c r="U256" s="79"/>
      <c r="V256" s="80"/>
    </row>
    <row r="257" spans="1:22" ht="15.75">
      <c r="A257" s="33">
        <v>255</v>
      </c>
      <c r="B257" s="16" t="s">
        <v>565</v>
      </c>
      <c r="C257" s="52" t="s">
        <v>525</v>
      </c>
      <c r="D257" t="str">
        <f>"9180029"</f>
        <v>9180029</v>
      </c>
      <c r="E257" s="52" t="s">
        <v>467</v>
      </c>
      <c r="F257" s="16" t="s">
        <v>26</v>
      </c>
      <c r="G257" s="52" t="s">
        <v>129</v>
      </c>
      <c r="H257" s="16" t="s">
        <v>137</v>
      </c>
      <c r="I257" s="29">
        <v>2005</v>
      </c>
      <c r="J257" s="53" t="s">
        <v>40</v>
      </c>
      <c r="K257" s="52" t="s">
        <v>91</v>
      </c>
      <c r="L257" s="16"/>
      <c r="M257" s="103">
        <v>48</v>
      </c>
      <c r="N257" s="103">
        <v>52</v>
      </c>
      <c r="O257" s="103">
        <v>53</v>
      </c>
      <c r="P257" s="103">
        <v>47</v>
      </c>
      <c r="Q257" s="103">
        <v>50</v>
      </c>
      <c r="R257" s="103">
        <v>51</v>
      </c>
      <c r="S257" s="79"/>
      <c r="T257" s="79"/>
      <c r="U257" s="79"/>
      <c r="V257" s="80"/>
    </row>
    <row r="258" spans="1:22" ht="15.75">
      <c r="A258" s="33">
        <v>256</v>
      </c>
      <c r="B258" s="16" t="s">
        <v>565</v>
      </c>
      <c r="C258" s="52" t="s">
        <v>527</v>
      </c>
      <c r="D258" t="str">
        <f>"9180030"</f>
        <v>9180030</v>
      </c>
      <c r="E258" s="52" t="s">
        <v>467</v>
      </c>
      <c r="F258" s="16" t="s">
        <v>26</v>
      </c>
      <c r="G258" s="52" t="s">
        <v>129</v>
      </c>
      <c r="H258" s="16" t="s">
        <v>573</v>
      </c>
      <c r="I258" s="29">
        <v>1954</v>
      </c>
      <c r="J258" s="53" t="s">
        <v>40</v>
      </c>
      <c r="K258" s="52" t="s">
        <v>91</v>
      </c>
      <c r="L258" s="16"/>
      <c r="M258" s="103">
        <v>60</v>
      </c>
      <c r="N258" s="103">
        <v>58</v>
      </c>
      <c r="O258" s="103">
        <v>53</v>
      </c>
      <c r="P258" s="103">
        <v>52</v>
      </c>
      <c r="Q258" s="103">
        <v>54</v>
      </c>
      <c r="R258" s="103">
        <v>53</v>
      </c>
      <c r="S258" s="79"/>
      <c r="T258" s="79"/>
      <c r="U258" s="79"/>
      <c r="V258" s="80"/>
    </row>
    <row r="259" spans="1:22" ht="15.75">
      <c r="A259" s="33">
        <v>257</v>
      </c>
      <c r="B259" s="16" t="s">
        <v>565</v>
      </c>
      <c r="C259" s="52" t="s">
        <v>521</v>
      </c>
      <c r="D259" t="str">
        <f>"9180046"</f>
        <v>9180046</v>
      </c>
      <c r="E259" s="52" t="s">
        <v>467</v>
      </c>
      <c r="F259" s="16" t="s">
        <v>26</v>
      </c>
      <c r="G259" s="52" t="s">
        <v>129</v>
      </c>
      <c r="H259" s="16" t="s">
        <v>133</v>
      </c>
      <c r="I259" s="29">
        <v>1958</v>
      </c>
      <c r="J259" s="53" t="s">
        <v>40</v>
      </c>
      <c r="K259" s="52" t="s">
        <v>91</v>
      </c>
      <c r="L259" s="16"/>
      <c r="M259" s="104"/>
      <c r="N259" s="104"/>
      <c r="O259" s="104"/>
      <c r="P259" s="103">
        <v>0</v>
      </c>
      <c r="Q259" s="103">
        <v>0</v>
      </c>
      <c r="R259" s="103">
        <v>0</v>
      </c>
      <c r="S259" s="79"/>
      <c r="T259" s="79"/>
      <c r="U259" s="79"/>
      <c r="V259" s="80"/>
    </row>
    <row r="260" spans="1:22" ht="15.75">
      <c r="A260" s="33">
        <v>258</v>
      </c>
      <c r="B260" s="16" t="s">
        <v>565</v>
      </c>
      <c r="C260" s="52" t="s">
        <v>515</v>
      </c>
      <c r="D260" t="str">
        <f>"9180049"</f>
        <v>9180049</v>
      </c>
      <c r="E260" s="52" t="s">
        <v>467</v>
      </c>
      <c r="F260" s="16" t="s">
        <v>26</v>
      </c>
      <c r="G260" s="52" t="s">
        <v>129</v>
      </c>
      <c r="H260" s="16" t="s">
        <v>136</v>
      </c>
      <c r="I260" s="29">
        <v>1954</v>
      </c>
      <c r="J260" s="53" t="s">
        <v>40</v>
      </c>
      <c r="K260" s="52" t="s">
        <v>91</v>
      </c>
      <c r="L260" s="16"/>
      <c r="M260" s="103">
        <v>64</v>
      </c>
      <c r="N260" s="103">
        <v>61</v>
      </c>
      <c r="O260" s="103">
        <v>56</v>
      </c>
      <c r="P260" s="103">
        <v>56</v>
      </c>
      <c r="Q260" s="103">
        <v>46</v>
      </c>
      <c r="R260" s="103">
        <v>43</v>
      </c>
      <c r="S260" s="79"/>
      <c r="T260" s="79"/>
      <c r="U260" s="79"/>
      <c r="V260" s="80"/>
    </row>
    <row r="261" spans="1:22" ht="15.75">
      <c r="A261" s="33">
        <v>259</v>
      </c>
      <c r="B261" s="16" t="s">
        <v>565</v>
      </c>
      <c r="C261" s="52" t="s">
        <v>524</v>
      </c>
      <c r="D261" t="str">
        <f>"9180123"</f>
        <v>9180123</v>
      </c>
      <c r="E261" s="52" t="s">
        <v>467</v>
      </c>
      <c r="F261" s="16" t="s">
        <v>26</v>
      </c>
      <c r="G261" s="52" t="s">
        <v>129</v>
      </c>
      <c r="H261" s="16" t="s">
        <v>572</v>
      </c>
      <c r="I261" s="29">
        <v>1998</v>
      </c>
      <c r="J261" s="53" t="s">
        <v>39</v>
      </c>
      <c r="K261" s="52" t="s">
        <v>91</v>
      </c>
      <c r="L261" s="16"/>
      <c r="M261" s="103">
        <v>71</v>
      </c>
      <c r="N261" s="103">
        <v>69</v>
      </c>
      <c r="O261" s="103">
        <v>61</v>
      </c>
      <c r="P261" s="103">
        <v>53</v>
      </c>
      <c r="Q261" s="103">
        <v>51</v>
      </c>
      <c r="R261" s="103">
        <v>48</v>
      </c>
      <c r="S261" s="79"/>
      <c r="T261" s="79"/>
      <c r="U261" s="79"/>
      <c r="V261" s="80"/>
    </row>
    <row r="262" spans="1:22" ht="15.75">
      <c r="A262" s="33">
        <v>260</v>
      </c>
      <c r="B262" s="16" t="s">
        <v>565</v>
      </c>
      <c r="C262" s="52" t="s">
        <v>511</v>
      </c>
      <c r="D262" t="str">
        <f>"9180205"</f>
        <v>9180205</v>
      </c>
      <c r="E262" s="52" t="s">
        <v>467</v>
      </c>
      <c r="F262" s="16" t="s">
        <v>26</v>
      </c>
      <c r="G262" s="52" t="s">
        <v>129</v>
      </c>
      <c r="H262" s="16" t="s">
        <v>129</v>
      </c>
      <c r="I262" s="29">
        <v>1979</v>
      </c>
      <c r="J262" s="53" t="s">
        <v>40</v>
      </c>
      <c r="K262" s="52" t="s">
        <v>91</v>
      </c>
      <c r="L262" s="16"/>
      <c r="M262" s="103">
        <v>20</v>
      </c>
      <c r="N262" s="103">
        <v>14</v>
      </c>
      <c r="O262" s="103">
        <v>17</v>
      </c>
      <c r="P262" s="105"/>
      <c r="Q262" s="105"/>
      <c r="R262" s="105"/>
      <c r="S262" s="79"/>
      <c r="T262" s="79"/>
      <c r="U262" s="79"/>
      <c r="V262" s="80"/>
    </row>
    <row r="263" spans="1:22" ht="15.75">
      <c r="A263" s="33">
        <v>261</v>
      </c>
      <c r="B263" s="16" t="s">
        <v>565</v>
      </c>
      <c r="C263" s="52" t="s">
        <v>512</v>
      </c>
      <c r="D263" s="116" t="str">
        <f>"9180229"</f>
        <v>9180229</v>
      </c>
      <c r="E263" s="52" t="s">
        <v>467</v>
      </c>
      <c r="F263" s="16" t="s">
        <v>26</v>
      </c>
      <c r="G263" s="52" t="s">
        <v>129</v>
      </c>
      <c r="H263" s="16" t="s">
        <v>129</v>
      </c>
      <c r="I263" s="29">
        <v>1990</v>
      </c>
      <c r="J263" s="53" t="s">
        <v>39</v>
      </c>
      <c r="K263" s="52" t="s">
        <v>91</v>
      </c>
      <c r="L263" s="16"/>
      <c r="M263" s="103">
        <v>209</v>
      </c>
      <c r="N263" s="103">
        <v>207</v>
      </c>
      <c r="O263" s="103">
        <v>190</v>
      </c>
      <c r="P263" s="103">
        <v>180</v>
      </c>
      <c r="Q263" s="103">
        <v>187</v>
      </c>
      <c r="R263" s="103">
        <v>175</v>
      </c>
      <c r="S263" s="79"/>
      <c r="T263" s="79"/>
      <c r="U263" s="79"/>
      <c r="V263" s="80"/>
    </row>
    <row r="264" spans="1:22" ht="15.75">
      <c r="A264" s="33">
        <v>262</v>
      </c>
      <c r="B264" s="16" t="s">
        <v>565</v>
      </c>
      <c r="C264" s="52" t="s">
        <v>528</v>
      </c>
      <c r="D264" t="str">
        <f>"9180250"</f>
        <v>9180250</v>
      </c>
      <c r="E264" s="52" t="s">
        <v>467</v>
      </c>
      <c r="F264" s="16" t="s">
        <v>26</v>
      </c>
      <c r="G264" s="52" t="s">
        <v>129</v>
      </c>
      <c r="H264" s="16" t="s">
        <v>129</v>
      </c>
      <c r="I264" s="91"/>
      <c r="J264" s="53" t="s">
        <v>40</v>
      </c>
      <c r="K264" s="52" t="s">
        <v>91</v>
      </c>
      <c r="L264" s="16"/>
      <c r="M264" s="103">
        <v>57</v>
      </c>
      <c r="N264" s="103">
        <v>64</v>
      </c>
      <c r="O264" s="103">
        <v>72</v>
      </c>
      <c r="P264" s="103">
        <v>77</v>
      </c>
      <c r="Q264" s="103">
        <v>77</v>
      </c>
      <c r="R264" s="103">
        <v>64</v>
      </c>
      <c r="S264" s="79"/>
      <c r="T264" s="79"/>
      <c r="U264" s="79"/>
      <c r="V264" s="80"/>
    </row>
    <row r="265" spans="1:22" ht="15.75">
      <c r="A265" s="33">
        <v>263</v>
      </c>
      <c r="B265" s="16" t="s">
        <v>565</v>
      </c>
      <c r="C265" s="52" t="s">
        <v>513</v>
      </c>
      <c r="D265" t="str">
        <f>"9521679"</f>
        <v>9521679</v>
      </c>
      <c r="E265" s="52" t="s">
        <v>467</v>
      </c>
      <c r="F265" s="16" t="s">
        <v>26</v>
      </c>
      <c r="G265" s="52" t="s">
        <v>129</v>
      </c>
      <c r="H265" s="16" t="s">
        <v>129</v>
      </c>
      <c r="I265" s="29">
        <v>2009</v>
      </c>
      <c r="J265" s="53" t="s">
        <v>39</v>
      </c>
      <c r="K265" s="52" t="s">
        <v>91</v>
      </c>
      <c r="L265" s="16"/>
      <c r="M265" s="103">
        <v>204</v>
      </c>
      <c r="N265" s="103">
        <v>195</v>
      </c>
      <c r="O265" s="103">
        <v>169</v>
      </c>
      <c r="P265" s="103">
        <v>166</v>
      </c>
      <c r="Q265" s="103">
        <v>148</v>
      </c>
      <c r="R265" s="103">
        <v>157</v>
      </c>
      <c r="S265" s="79"/>
      <c r="T265" s="79"/>
      <c r="U265" s="79"/>
      <c r="V265" s="80"/>
    </row>
    <row r="266" spans="1:22" ht="15.75">
      <c r="A266" s="33">
        <v>264</v>
      </c>
      <c r="B266" s="16" t="s">
        <v>565</v>
      </c>
      <c r="C266" s="52" t="s">
        <v>520</v>
      </c>
      <c r="D266" s="117"/>
      <c r="E266" s="52" t="s">
        <v>467</v>
      </c>
      <c r="F266" s="16" t="s">
        <v>26</v>
      </c>
      <c r="G266" s="52" t="s">
        <v>129</v>
      </c>
      <c r="H266" s="16" t="s">
        <v>141</v>
      </c>
      <c r="I266" s="29">
        <v>1970</v>
      </c>
      <c r="J266" s="53" t="s">
        <v>40</v>
      </c>
      <c r="K266" s="52" t="s">
        <v>91</v>
      </c>
      <c r="L266" s="16"/>
      <c r="M266" s="103">
        <v>7</v>
      </c>
      <c r="N266" s="103">
        <v>4</v>
      </c>
      <c r="O266" s="103">
        <v>5</v>
      </c>
      <c r="P266" s="103">
        <v>4</v>
      </c>
      <c r="Q266" s="103">
        <v>6</v>
      </c>
      <c r="R266" s="103">
        <v>4</v>
      </c>
      <c r="S266" s="79"/>
      <c r="T266" s="79"/>
      <c r="U266" s="79"/>
      <c r="V266" s="80"/>
    </row>
    <row r="267" spans="1:22" ht="15.75">
      <c r="A267" s="33">
        <v>265</v>
      </c>
      <c r="B267" s="16" t="s">
        <v>565</v>
      </c>
      <c r="C267" s="52" t="s">
        <v>517</v>
      </c>
      <c r="D267" t="str">
        <f>"9180035"</f>
        <v>9180035</v>
      </c>
      <c r="E267" s="52" t="s">
        <v>467</v>
      </c>
      <c r="F267" s="16" t="s">
        <v>26</v>
      </c>
      <c r="G267" s="52" t="s">
        <v>131</v>
      </c>
      <c r="H267" s="16" t="s">
        <v>567</v>
      </c>
      <c r="I267" s="29">
        <v>1970</v>
      </c>
      <c r="J267" s="53" t="s">
        <v>40</v>
      </c>
      <c r="K267" s="52" t="s">
        <v>91</v>
      </c>
      <c r="L267" s="16"/>
      <c r="M267" s="103">
        <v>160</v>
      </c>
      <c r="N267" s="103">
        <v>160</v>
      </c>
      <c r="O267" s="103">
        <v>144</v>
      </c>
      <c r="P267" s="103">
        <v>143</v>
      </c>
      <c r="Q267" s="103">
        <v>136</v>
      </c>
      <c r="R267" s="111">
        <v>139</v>
      </c>
      <c r="S267" s="79"/>
      <c r="T267" s="79"/>
      <c r="U267" s="79"/>
      <c r="V267" s="80"/>
    </row>
    <row r="268" spans="1:22" ht="15.75">
      <c r="A268" s="33">
        <v>266</v>
      </c>
      <c r="B268" s="16" t="s">
        <v>565</v>
      </c>
      <c r="C268" s="52" t="s">
        <v>506</v>
      </c>
      <c r="D268" t="str">
        <f>"9180058"</f>
        <v>9180058</v>
      </c>
      <c r="E268" s="52" t="s">
        <v>467</v>
      </c>
      <c r="F268" s="16" t="s">
        <v>26</v>
      </c>
      <c r="G268" s="52" t="s">
        <v>131</v>
      </c>
      <c r="H268" s="16" t="s">
        <v>135</v>
      </c>
      <c r="I268" s="29">
        <v>2009</v>
      </c>
      <c r="J268" s="53" t="s">
        <v>39</v>
      </c>
      <c r="K268" s="52" t="s">
        <v>91</v>
      </c>
      <c r="L268" s="16"/>
      <c r="M268" s="103">
        <v>232</v>
      </c>
      <c r="N268" s="103">
        <v>216</v>
      </c>
      <c r="O268" s="103">
        <v>204</v>
      </c>
      <c r="P268" s="103">
        <v>197</v>
      </c>
      <c r="Q268" s="103">
        <v>165</v>
      </c>
      <c r="R268" s="103">
        <v>170</v>
      </c>
      <c r="S268" s="79"/>
      <c r="T268" s="79"/>
      <c r="U268" s="79"/>
      <c r="V268" s="80"/>
    </row>
    <row r="269" spans="1:22" ht="15.75">
      <c r="A269" s="33">
        <v>267</v>
      </c>
      <c r="B269" s="16" t="s">
        <v>565</v>
      </c>
      <c r="C269" s="52" t="s">
        <v>529</v>
      </c>
      <c r="D269" t="str">
        <f>"9180067"</f>
        <v>9180067</v>
      </c>
      <c r="E269" s="52" t="s">
        <v>467</v>
      </c>
      <c r="F269" s="16" t="s">
        <v>26</v>
      </c>
      <c r="G269" s="52" t="s">
        <v>131</v>
      </c>
      <c r="H269" s="16"/>
      <c r="I269" s="29">
        <v>1984</v>
      </c>
      <c r="J269" s="53" t="s">
        <v>40</v>
      </c>
      <c r="K269" s="52" t="s">
        <v>91</v>
      </c>
      <c r="L269" s="16"/>
      <c r="M269" s="103">
        <v>13</v>
      </c>
      <c r="N269" s="103">
        <v>16</v>
      </c>
      <c r="O269" s="103">
        <v>15</v>
      </c>
      <c r="P269" s="103">
        <v>15</v>
      </c>
      <c r="Q269" s="103">
        <v>16</v>
      </c>
      <c r="R269" s="103">
        <v>17</v>
      </c>
      <c r="S269" s="79"/>
      <c r="T269" s="79"/>
      <c r="U269" s="79"/>
      <c r="V269" s="80"/>
    </row>
    <row r="270" spans="1:22" ht="15.75">
      <c r="A270" s="33">
        <v>268</v>
      </c>
      <c r="B270" s="16" t="s">
        <v>565</v>
      </c>
      <c r="C270" s="52" t="s">
        <v>526</v>
      </c>
      <c r="D270" t="str">
        <f>"9180069"</f>
        <v>9180069</v>
      </c>
      <c r="E270" s="52" t="s">
        <v>467</v>
      </c>
      <c r="F270" s="16" t="s">
        <v>26</v>
      </c>
      <c r="G270" s="52" t="s">
        <v>131</v>
      </c>
      <c r="H270" s="16" t="s">
        <v>132</v>
      </c>
      <c r="I270" s="29">
        <v>1989</v>
      </c>
      <c r="J270" s="53" t="s">
        <v>39</v>
      </c>
      <c r="K270" s="52" t="s">
        <v>91</v>
      </c>
      <c r="L270" s="16"/>
      <c r="M270" s="103">
        <v>67</v>
      </c>
      <c r="N270" s="103">
        <v>57</v>
      </c>
      <c r="O270" s="103">
        <v>66</v>
      </c>
      <c r="P270" s="103">
        <v>62</v>
      </c>
      <c r="Q270" s="103">
        <v>60</v>
      </c>
      <c r="R270" s="103">
        <v>60</v>
      </c>
      <c r="S270" s="79"/>
      <c r="T270" s="79"/>
      <c r="U270" s="79"/>
      <c r="V270" s="80"/>
    </row>
    <row r="271" spans="1:22" ht="15.75">
      <c r="A271" s="33">
        <v>269</v>
      </c>
      <c r="B271" s="16" t="s">
        <v>565</v>
      </c>
      <c r="C271" s="52" t="s">
        <v>523</v>
      </c>
      <c r="D271" t="str">
        <f>"9180093"</f>
        <v>9180093</v>
      </c>
      <c r="E271" s="52" t="s">
        <v>467</v>
      </c>
      <c r="F271" s="16" t="s">
        <v>26</v>
      </c>
      <c r="G271" s="52" t="s">
        <v>131</v>
      </c>
      <c r="H271" s="16" t="s">
        <v>571</v>
      </c>
      <c r="I271" s="29">
        <v>1980</v>
      </c>
      <c r="J271" s="53" t="s">
        <v>39</v>
      </c>
      <c r="K271" s="52" t="s">
        <v>91</v>
      </c>
      <c r="L271" s="16"/>
      <c r="M271" s="103">
        <v>162</v>
      </c>
      <c r="N271" s="103">
        <v>167</v>
      </c>
      <c r="O271" s="103">
        <v>159</v>
      </c>
      <c r="P271" s="103">
        <v>150</v>
      </c>
      <c r="Q271" s="103">
        <v>153</v>
      </c>
      <c r="R271" s="103">
        <v>154</v>
      </c>
      <c r="S271" s="79"/>
      <c r="T271" s="79"/>
      <c r="U271" s="79"/>
      <c r="V271" s="80"/>
    </row>
    <row r="272" spans="1:22" ht="15.75">
      <c r="A272" s="33">
        <v>270</v>
      </c>
      <c r="B272" s="16" t="s">
        <v>565</v>
      </c>
      <c r="C272" s="52" t="s">
        <v>510</v>
      </c>
      <c r="D272" t="str">
        <f>"9180132"</f>
        <v>9180132</v>
      </c>
      <c r="E272" s="52" t="s">
        <v>467</v>
      </c>
      <c r="F272" s="16" t="s">
        <v>26</v>
      </c>
      <c r="G272" s="52" t="s">
        <v>131</v>
      </c>
      <c r="H272" s="16" t="s">
        <v>134</v>
      </c>
      <c r="I272" s="29">
        <v>1988</v>
      </c>
      <c r="J272" s="53" t="s">
        <v>39</v>
      </c>
      <c r="K272" s="52" t="s">
        <v>91</v>
      </c>
      <c r="L272" s="16"/>
      <c r="M272" s="103">
        <v>80</v>
      </c>
      <c r="N272" s="103">
        <v>78</v>
      </c>
      <c r="O272" s="103">
        <v>74</v>
      </c>
      <c r="P272" s="103">
        <v>72</v>
      </c>
      <c r="Q272" s="103">
        <v>72</v>
      </c>
      <c r="R272" s="103">
        <v>63</v>
      </c>
      <c r="S272" s="79"/>
      <c r="T272" s="79"/>
      <c r="U272" s="79"/>
      <c r="V272" s="80"/>
    </row>
    <row r="273" spans="1:22" ht="15.75">
      <c r="A273" s="33">
        <v>271</v>
      </c>
      <c r="B273" s="16" t="s">
        <v>565</v>
      </c>
      <c r="C273" s="52" t="s">
        <v>507</v>
      </c>
      <c r="D273" t="str">
        <f>"9180136"</f>
        <v>9180136</v>
      </c>
      <c r="E273" s="52" t="s">
        <v>467</v>
      </c>
      <c r="F273" s="16" t="s">
        <v>26</v>
      </c>
      <c r="G273" s="52" t="s">
        <v>130</v>
      </c>
      <c r="H273" s="16" t="s">
        <v>130</v>
      </c>
      <c r="I273" s="29">
        <v>1935</v>
      </c>
      <c r="J273" s="53" t="s">
        <v>39</v>
      </c>
      <c r="K273" s="52" t="s">
        <v>91</v>
      </c>
      <c r="L273" s="16"/>
      <c r="M273" s="103">
        <v>188</v>
      </c>
      <c r="N273" s="103">
        <v>175</v>
      </c>
      <c r="O273" s="103">
        <v>170</v>
      </c>
      <c r="P273" s="103">
        <v>163</v>
      </c>
      <c r="Q273" s="103">
        <v>165</v>
      </c>
      <c r="R273" s="103">
        <v>162</v>
      </c>
      <c r="S273" s="79"/>
      <c r="T273" s="79"/>
      <c r="U273" s="79"/>
      <c r="V273" s="80"/>
    </row>
    <row r="274" spans="1:22" ht="15.75">
      <c r="A274" s="33">
        <v>272</v>
      </c>
      <c r="B274" s="16" t="s">
        <v>565</v>
      </c>
      <c r="C274" s="52" t="s">
        <v>509</v>
      </c>
      <c r="D274" t="str">
        <f>"9180138"</f>
        <v>9180138</v>
      </c>
      <c r="E274" s="52" t="s">
        <v>467</v>
      </c>
      <c r="F274" s="16" t="s">
        <v>26</v>
      </c>
      <c r="G274" s="52" t="s">
        <v>130</v>
      </c>
      <c r="H274" s="16" t="s">
        <v>130</v>
      </c>
      <c r="I274" s="29">
        <v>1989</v>
      </c>
      <c r="J274" s="53" t="s">
        <v>39</v>
      </c>
      <c r="K274" s="52" t="s">
        <v>91</v>
      </c>
      <c r="L274" s="16"/>
      <c r="M274" s="103">
        <v>195</v>
      </c>
      <c r="N274" s="103">
        <v>189</v>
      </c>
      <c r="O274" s="103">
        <v>181</v>
      </c>
      <c r="P274" s="103">
        <v>159</v>
      </c>
      <c r="Q274" s="103">
        <v>161</v>
      </c>
      <c r="R274" s="103">
        <v>171</v>
      </c>
      <c r="S274" s="79"/>
      <c r="T274" s="79"/>
      <c r="U274" s="79"/>
      <c r="V274" s="80"/>
    </row>
    <row r="275" spans="1:22" ht="15.75">
      <c r="A275" s="33">
        <v>273</v>
      </c>
      <c r="B275" s="16" t="s">
        <v>565</v>
      </c>
      <c r="C275" s="52" t="s">
        <v>519</v>
      </c>
      <c r="D275" t="str">
        <f>"9180167"</f>
        <v>9180167</v>
      </c>
      <c r="E275" s="52" t="s">
        <v>467</v>
      </c>
      <c r="F275" s="16" t="s">
        <v>26</v>
      </c>
      <c r="G275" s="52" t="s">
        <v>130</v>
      </c>
      <c r="H275" s="16" t="s">
        <v>570</v>
      </c>
      <c r="I275" s="91"/>
      <c r="J275" s="53" t="s">
        <v>40</v>
      </c>
      <c r="K275" s="52" t="s">
        <v>91</v>
      </c>
      <c r="L275" s="16"/>
      <c r="M275" s="103">
        <v>51</v>
      </c>
      <c r="N275" s="103">
        <v>58</v>
      </c>
      <c r="O275" s="103">
        <v>51</v>
      </c>
      <c r="P275" s="103">
        <v>53</v>
      </c>
      <c r="Q275" s="103">
        <v>52</v>
      </c>
      <c r="R275" s="103">
        <v>52</v>
      </c>
      <c r="S275" s="79"/>
      <c r="T275" s="79"/>
      <c r="U275" s="79"/>
      <c r="V275" s="80"/>
    </row>
    <row r="276" spans="1:22" ht="15.75">
      <c r="A276" s="33">
        <v>274</v>
      </c>
      <c r="B276" s="16" t="s">
        <v>565</v>
      </c>
      <c r="C276" s="52" t="s">
        <v>514</v>
      </c>
      <c r="D276" t="str">
        <f>"9180189"</f>
        <v>9180189</v>
      </c>
      <c r="E276" s="52" t="s">
        <v>467</v>
      </c>
      <c r="F276" s="16" t="s">
        <v>26</v>
      </c>
      <c r="G276" s="52" t="s">
        <v>130</v>
      </c>
      <c r="H276" s="16" t="s">
        <v>566</v>
      </c>
      <c r="I276" s="29">
        <v>1959</v>
      </c>
      <c r="J276" s="53" t="s">
        <v>40</v>
      </c>
      <c r="K276" s="52" t="s">
        <v>91</v>
      </c>
      <c r="L276" s="16"/>
      <c r="M276" s="103">
        <v>140</v>
      </c>
      <c r="N276" s="103">
        <v>135</v>
      </c>
      <c r="O276" s="103">
        <v>137</v>
      </c>
      <c r="P276" s="103">
        <v>136</v>
      </c>
      <c r="Q276" s="103">
        <v>140</v>
      </c>
      <c r="R276" s="103">
        <v>129</v>
      </c>
      <c r="S276" s="79"/>
      <c r="T276" s="79"/>
      <c r="U276" s="79"/>
      <c r="V276" s="80"/>
    </row>
    <row r="277" spans="1:22" ht="15.75">
      <c r="A277" s="33">
        <v>275</v>
      </c>
      <c r="B277" s="16" t="s">
        <v>565</v>
      </c>
      <c r="C277" s="52" t="s">
        <v>531</v>
      </c>
      <c r="D277" t="str">
        <f>"9180002"</f>
        <v>9180002</v>
      </c>
      <c r="E277" s="52" t="s">
        <v>468</v>
      </c>
      <c r="F277" s="16" t="s">
        <v>26</v>
      </c>
      <c r="G277" s="52" t="s">
        <v>129</v>
      </c>
      <c r="H277" s="16" t="s">
        <v>129</v>
      </c>
      <c r="I277" s="29">
        <v>1990</v>
      </c>
      <c r="J277" s="53" t="s">
        <v>39</v>
      </c>
      <c r="K277" s="52" t="s">
        <v>91</v>
      </c>
      <c r="L277" s="16"/>
      <c r="M277" s="103">
        <v>9</v>
      </c>
      <c r="N277" s="103">
        <v>10</v>
      </c>
      <c r="O277" s="103">
        <v>7</v>
      </c>
      <c r="P277" s="103">
        <v>3</v>
      </c>
      <c r="Q277" s="103">
        <v>5</v>
      </c>
      <c r="R277" s="103">
        <v>5</v>
      </c>
      <c r="S277" s="79"/>
      <c r="T277" s="79"/>
      <c r="U277" s="79"/>
      <c r="V277" s="80"/>
    </row>
    <row r="278" spans="1:22" ht="15.75">
      <c r="A278" s="33">
        <v>276</v>
      </c>
      <c r="B278" s="16" t="s">
        <v>565</v>
      </c>
      <c r="C278" s="52" t="s">
        <v>541</v>
      </c>
      <c r="D278" t="str">
        <f>"9180004"</f>
        <v>9180004</v>
      </c>
      <c r="E278" s="52" t="s">
        <v>468</v>
      </c>
      <c r="F278" s="16" t="s">
        <v>26</v>
      </c>
      <c r="G278" s="52" t="s">
        <v>129</v>
      </c>
      <c r="H278" s="16" t="s">
        <v>129</v>
      </c>
      <c r="I278" s="29">
        <v>1979</v>
      </c>
      <c r="J278" s="53" t="s">
        <v>39</v>
      </c>
      <c r="K278" s="52" t="s">
        <v>139</v>
      </c>
      <c r="L278" s="16"/>
      <c r="M278" s="103">
        <v>31</v>
      </c>
      <c r="N278" s="103">
        <v>27</v>
      </c>
      <c r="O278" s="103">
        <v>26</v>
      </c>
      <c r="P278" s="105"/>
      <c r="Q278" s="105"/>
      <c r="R278" s="105"/>
      <c r="S278" s="79"/>
      <c r="T278" s="79"/>
      <c r="U278" s="79"/>
      <c r="V278" s="80"/>
    </row>
    <row r="279" spans="1:22" ht="15.75">
      <c r="A279" s="33">
        <v>277</v>
      </c>
      <c r="B279" s="16" t="s">
        <v>565</v>
      </c>
      <c r="C279" s="52" t="s">
        <v>533</v>
      </c>
      <c r="D279" t="str">
        <f>"9180017"</f>
        <v>9180017</v>
      </c>
      <c r="E279" s="52" t="s">
        <v>468</v>
      </c>
      <c r="F279" s="16" t="s">
        <v>26</v>
      </c>
      <c r="G279" s="52" t="s">
        <v>129</v>
      </c>
      <c r="H279" s="16" t="s">
        <v>568</v>
      </c>
      <c r="I279" s="29">
        <v>1987</v>
      </c>
      <c r="J279" s="53" t="s">
        <v>39</v>
      </c>
      <c r="K279" s="52" t="s">
        <v>91</v>
      </c>
      <c r="L279" s="16"/>
      <c r="M279" s="103">
        <v>28</v>
      </c>
      <c r="N279" s="103">
        <v>27</v>
      </c>
      <c r="O279" s="103">
        <v>24</v>
      </c>
      <c r="P279" s="103">
        <v>18</v>
      </c>
      <c r="Q279" s="103">
        <v>26</v>
      </c>
      <c r="R279" s="103">
        <v>27</v>
      </c>
      <c r="S279" s="79"/>
      <c r="T279" s="79"/>
      <c r="U279" s="79"/>
      <c r="V279" s="80"/>
    </row>
    <row r="280" spans="1:22" ht="15.75">
      <c r="A280" s="33">
        <v>278</v>
      </c>
      <c r="B280" s="16" t="s">
        <v>565</v>
      </c>
      <c r="C280" s="52" t="s">
        <v>552</v>
      </c>
      <c r="D280" t="str">
        <f>"9180018"</f>
        <v>9180018</v>
      </c>
      <c r="E280" s="52" t="s">
        <v>468</v>
      </c>
      <c r="F280" s="16" t="s">
        <v>26</v>
      </c>
      <c r="G280" s="52" t="s">
        <v>129</v>
      </c>
      <c r="H280" s="16" t="s">
        <v>578</v>
      </c>
      <c r="I280" s="29">
        <v>1981</v>
      </c>
      <c r="J280" s="53" t="s">
        <v>40</v>
      </c>
      <c r="K280" s="52" t="s">
        <v>91</v>
      </c>
      <c r="L280" s="16"/>
      <c r="M280" s="103">
        <v>2</v>
      </c>
      <c r="N280" s="103">
        <v>3</v>
      </c>
      <c r="O280" s="103">
        <v>3</v>
      </c>
      <c r="P280" s="103">
        <v>6</v>
      </c>
      <c r="Q280" s="103">
        <v>5</v>
      </c>
      <c r="R280" s="103">
        <v>5</v>
      </c>
      <c r="S280" s="79"/>
      <c r="T280" s="79"/>
      <c r="U280" s="79"/>
      <c r="V280" s="80"/>
    </row>
    <row r="281" spans="1:22" ht="15.75">
      <c r="A281" s="33">
        <v>279</v>
      </c>
      <c r="B281" s="16" t="s">
        <v>565</v>
      </c>
      <c r="C281" s="52" t="s">
        <v>534</v>
      </c>
      <c r="D281" t="str">
        <f>"9180026"</f>
        <v>9180026</v>
      </c>
      <c r="E281" s="52" t="s">
        <v>468</v>
      </c>
      <c r="F281" s="16" t="s">
        <v>26</v>
      </c>
      <c r="G281" s="52" t="s">
        <v>129</v>
      </c>
      <c r="H281" s="16" t="s">
        <v>138</v>
      </c>
      <c r="I281" s="29">
        <v>1970</v>
      </c>
      <c r="J281" s="53" t="s">
        <v>40</v>
      </c>
      <c r="K281" s="52" t="s">
        <v>91</v>
      </c>
      <c r="L281" s="16"/>
      <c r="M281" s="103">
        <v>20</v>
      </c>
      <c r="N281" s="103">
        <v>15</v>
      </c>
      <c r="O281" s="103">
        <v>13</v>
      </c>
      <c r="P281" s="103">
        <v>14</v>
      </c>
      <c r="Q281" s="103">
        <v>16</v>
      </c>
      <c r="R281" s="103">
        <v>18</v>
      </c>
      <c r="S281" s="79"/>
      <c r="T281" s="79"/>
      <c r="U281" s="79"/>
      <c r="V281" s="80"/>
    </row>
    <row r="282" spans="1:22" ht="15.75">
      <c r="A282" s="33">
        <v>280</v>
      </c>
      <c r="B282" s="16" t="s">
        <v>565</v>
      </c>
      <c r="C282" s="52" t="s">
        <v>538</v>
      </c>
      <c r="D282" s="116" t="str">
        <f>"9180028"</f>
        <v>9180028</v>
      </c>
      <c r="E282" s="52" t="s">
        <v>468</v>
      </c>
      <c r="F282" s="16" t="s">
        <v>26</v>
      </c>
      <c r="G282" s="52" t="s">
        <v>129</v>
      </c>
      <c r="H282" s="16" t="s">
        <v>137</v>
      </c>
      <c r="I282" s="29">
        <v>1980</v>
      </c>
      <c r="J282" s="53" t="s">
        <v>40</v>
      </c>
      <c r="K282" s="52" t="s">
        <v>91</v>
      </c>
      <c r="L282" s="16"/>
      <c r="M282" s="103">
        <v>8</v>
      </c>
      <c r="N282" s="103">
        <v>12</v>
      </c>
      <c r="O282" s="103">
        <v>16</v>
      </c>
      <c r="P282" s="103">
        <v>13</v>
      </c>
      <c r="Q282" s="103">
        <v>13</v>
      </c>
      <c r="R282" s="103">
        <v>10</v>
      </c>
      <c r="S282" s="79"/>
      <c r="T282" s="79"/>
      <c r="U282" s="79"/>
      <c r="V282" s="80"/>
    </row>
    <row r="283" spans="1:22" ht="15.75">
      <c r="A283" s="33">
        <v>281</v>
      </c>
      <c r="B283" s="16" t="s">
        <v>565</v>
      </c>
      <c r="C283" s="52" t="s">
        <v>537</v>
      </c>
      <c r="D283" s="116" t="str">
        <f>"9180045"</f>
        <v>9180045</v>
      </c>
      <c r="E283" s="52" t="s">
        <v>468</v>
      </c>
      <c r="F283" s="16" t="s">
        <v>26</v>
      </c>
      <c r="G283" s="52" t="s">
        <v>129</v>
      </c>
      <c r="H283" s="16" t="s">
        <v>133</v>
      </c>
      <c r="I283" s="29">
        <v>1989</v>
      </c>
      <c r="J283" s="53" t="s">
        <v>40</v>
      </c>
      <c r="K283" s="52" t="s">
        <v>91</v>
      </c>
      <c r="L283" s="16"/>
      <c r="M283" s="103">
        <v>17</v>
      </c>
      <c r="N283" s="103">
        <v>17</v>
      </c>
      <c r="O283" s="103">
        <v>20</v>
      </c>
      <c r="P283" s="105"/>
      <c r="Q283" s="105"/>
      <c r="R283" s="105"/>
      <c r="S283" s="79"/>
      <c r="T283" s="79"/>
      <c r="U283" s="79"/>
      <c r="V283" s="80"/>
    </row>
    <row r="284" spans="1:22" ht="15.75">
      <c r="A284" s="33">
        <v>282</v>
      </c>
      <c r="B284" s="16" t="s">
        <v>565</v>
      </c>
      <c r="C284" s="52" t="s">
        <v>539</v>
      </c>
      <c r="D284" t="str">
        <f>"9180050"</f>
        <v>9180050</v>
      </c>
      <c r="E284" s="52" t="s">
        <v>468</v>
      </c>
      <c r="F284" s="16" t="s">
        <v>26</v>
      </c>
      <c r="G284" s="52" t="s">
        <v>129</v>
      </c>
      <c r="H284" s="16" t="s">
        <v>136</v>
      </c>
      <c r="I284" s="29">
        <v>1980</v>
      </c>
      <c r="J284" s="53" t="s">
        <v>40</v>
      </c>
      <c r="K284" s="52" t="s">
        <v>91</v>
      </c>
      <c r="L284" s="16"/>
      <c r="M284" s="103">
        <v>19</v>
      </c>
      <c r="N284" s="103">
        <v>20</v>
      </c>
      <c r="O284" s="103">
        <v>19</v>
      </c>
      <c r="P284" s="103">
        <v>17</v>
      </c>
      <c r="Q284" s="103">
        <v>18</v>
      </c>
      <c r="R284" s="103">
        <v>12</v>
      </c>
      <c r="S284" s="79"/>
      <c r="T284" s="79"/>
      <c r="U284" s="79"/>
      <c r="V284" s="80"/>
    </row>
    <row r="285" spans="1:22" ht="15.75">
      <c r="A285" s="33">
        <v>283</v>
      </c>
      <c r="B285" s="16" t="s">
        <v>565</v>
      </c>
      <c r="C285" s="52" t="s">
        <v>561</v>
      </c>
      <c r="D285" t="str">
        <f>"9180124"</f>
        <v>9180124</v>
      </c>
      <c r="E285" s="52" t="s">
        <v>468</v>
      </c>
      <c r="F285" s="16" t="s">
        <v>26</v>
      </c>
      <c r="G285" s="52" t="s">
        <v>129</v>
      </c>
      <c r="H285" s="16" t="s">
        <v>572</v>
      </c>
      <c r="I285" s="29">
        <v>1998</v>
      </c>
      <c r="J285" s="53" t="s">
        <v>39</v>
      </c>
      <c r="K285" s="52" t="s">
        <v>91</v>
      </c>
      <c r="L285" s="16"/>
      <c r="M285" s="103">
        <v>4</v>
      </c>
      <c r="N285" s="103">
        <v>4</v>
      </c>
      <c r="O285" s="103">
        <v>3</v>
      </c>
      <c r="P285" s="103">
        <v>3</v>
      </c>
      <c r="Q285" s="103">
        <v>2</v>
      </c>
      <c r="R285" s="103">
        <v>2</v>
      </c>
      <c r="S285" s="79"/>
      <c r="T285" s="79"/>
      <c r="U285" s="79"/>
      <c r="V285" s="80"/>
    </row>
    <row r="286" spans="1:22" ht="15.75">
      <c r="A286" s="33">
        <v>284</v>
      </c>
      <c r="B286" s="16" t="s">
        <v>565</v>
      </c>
      <c r="C286" s="52" t="s">
        <v>563</v>
      </c>
      <c r="D286" t="str">
        <f>"9180203"</f>
        <v>9180203</v>
      </c>
      <c r="E286" s="52" t="s">
        <v>468</v>
      </c>
      <c r="F286" s="16" t="s">
        <v>26</v>
      </c>
      <c r="G286" s="52" t="s">
        <v>129</v>
      </c>
      <c r="H286" s="16" t="s">
        <v>573</v>
      </c>
      <c r="I286" s="91"/>
      <c r="J286" s="53" t="s">
        <v>40</v>
      </c>
      <c r="K286" s="52" t="s">
        <v>91</v>
      </c>
      <c r="L286" s="16"/>
      <c r="M286" s="103">
        <v>11</v>
      </c>
      <c r="N286" s="103">
        <v>7</v>
      </c>
      <c r="O286" s="103">
        <v>2</v>
      </c>
      <c r="P286" s="103">
        <v>6</v>
      </c>
      <c r="Q286" s="103">
        <v>6</v>
      </c>
      <c r="R286" s="103">
        <v>3</v>
      </c>
      <c r="S286" s="79"/>
      <c r="T286" s="79"/>
      <c r="U286" s="79"/>
      <c r="V286" s="80"/>
    </row>
    <row r="287" spans="1:22" ht="15.75">
      <c r="A287" s="33">
        <v>285</v>
      </c>
      <c r="B287" s="16" t="s">
        <v>565</v>
      </c>
      <c r="C287" s="52" t="s">
        <v>544</v>
      </c>
      <c r="D287" t="str">
        <f>"9180204"</f>
        <v>9180204</v>
      </c>
      <c r="E287" s="52" t="s">
        <v>468</v>
      </c>
      <c r="F287" s="16" t="s">
        <v>26</v>
      </c>
      <c r="G287" s="52" t="s">
        <v>129</v>
      </c>
      <c r="H287" s="16" t="s">
        <v>129</v>
      </c>
      <c r="I287" s="29">
        <v>2014</v>
      </c>
      <c r="J287" s="53" t="s">
        <v>39</v>
      </c>
      <c r="K287" s="52" t="s">
        <v>91</v>
      </c>
      <c r="L287" s="16"/>
      <c r="M287" s="103">
        <v>15</v>
      </c>
      <c r="N287" s="103">
        <v>11</v>
      </c>
      <c r="O287" s="103">
        <v>10</v>
      </c>
      <c r="P287" s="103">
        <v>15</v>
      </c>
      <c r="Q287" s="103">
        <v>13</v>
      </c>
      <c r="R287" s="103">
        <v>12</v>
      </c>
      <c r="S287" s="79"/>
      <c r="T287" s="79"/>
      <c r="U287" s="79"/>
      <c r="V287" s="80"/>
    </row>
    <row r="288" spans="1:22" ht="15.75">
      <c r="A288" s="33">
        <v>286</v>
      </c>
      <c r="B288" s="16" t="s">
        <v>565</v>
      </c>
      <c r="C288" s="52" t="s">
        <v>546</v>
      </c>
      <c r="D288" t="str">
        <f>"9180215"</f>
        <v>9180215</v>
      </c>
      <c r="E288" s="52" t="s">
        <v>468</v>
      </c>
      <c r="F288" s="16" t="s">
        <v>26</v>
      </c>
      <c r="G288" s="52" t="s">
        <v>129</v>
      </c>
      <c r="H288" s="16" t="s">
        <v>129</v>
      </c>
      <c r="I288" s="29">
        <v>1982</v>
      </c>
      <c r="J288" s="53" t="s">
        <v>39</v>
      </c>
      <c r="K288" s="52" t="s">
        <v>139</v>
      </c>
      <c r="L288" s="16"/>
      <c r="M288" s="103">
        <v>10</v>
      </c>
      <c r="N288" s="103">
        <v>6</v>
      </c>
      <c r="O288" s="103">
        <v>14</v>
      </c>
      <c r="P288" s="103">
        <v>12</v>
      </c>
      <c r="Q288" s="103">
        <v>10</v>
      </c>
      <c r="R288" s="103">
        <v>12</v>
      </c>
      <c r="S288" s="79"/>
      <c r="T288" s="79"/>
      <c r="U288" s="79"/>
      <c r="V288" s="80"/>
    </row>
    <row r="289" spans="1:22" ht="15.75">
      <c r="A289" s="33">
        <v>287</v>
      </c>
      <c r="B289" s="16" t="s">
        <v>565</v>
      </c>
      <c r="C289" s="52" t="s">
        <v>547</v>
      </c>
      <c r="D289" s="116" t="str">
        <f>"9180236"</f>
        <v>9180236</v>
      </c>
      <c r="E289" s="52" t="s">
        <v>468</v>
      </c>
      <c r="F289" s="16" t="s">
        <v>26</v>
      </c>
      <c r="G289" s="52" t="s">
        <v>129</v>
      </c>
      <c r="H289" s="16" t="s">
        <v>129</v>
      </c>
      <c r="I289" s="29">
        <v>2002</v>
      </c>
      <c r="J289" s="53" t="s">
        <v>40</v>
      </c>
      <c r="K289" s="52" t="s">
        <v>139</v>
      </c>
      <c r="L289" s="16"/>
      <c r="M289" s="103">
        <v>18</v>
      </c>
      <c r="N289" s="103">
        <v>15</v>
      </c>
      <c r="O289" s="103">
        <v>17</v>
      </c>
      <c r="P289" s="103">
        <v>15</v>
      </c>
      <c r="Q289" s="103">
        <v>16</v>
      </c>
      <c r="R289" s="103">
        <v>16</v>
      </c>
      <c r="S289" s="79"/>
      <c r="T289" s="79"/>
      <c r="U289" s="79"/>
      <c r="V289" s="80"/>
    </row>
    <row r="290" spans="1:22" ht="15.75">
      <c r="A290" s="33">
        <v>288</v>
      </c>
      <c r="B290" s="16" t="s">
        <v>565</v>
      </c>
      <c r="C290" s="52" t="s">
        <v>559</v>
      </c>
      <c r="D290" t="str">
        <f>"9180245"</f>
        <v>9180245</v>
      </c>
      <c r="E290" s="52" t="s">
        <v>468</v>
      </c>
      <c r="F290" s="16" t="s">
        <v>26</v>
      </c>
      <c r="G290" s="52" t="s">
        <v>129</v>
      </c>
      <c r="H290" s="16" t="s">
        <v>581</v>
      </c>
      <c r="I290" s="29">
        <v>1955</v>
      </c>
      <c r="J290" s="53" t="s">
        <v>40</v>
      </c>
      <c r="K290" s="52" t="s">
        <v>91</v>
      </c>
      <c r="L290" s="16"/>
      <c r="M290" s="103">
        <v>1</v>
      </c>
      <c r="N290" s="103">
        <v>2</v>
      </c>
      <c r="O290" s="103">
        <v>3</v>
      </c>
      <c r="P290" s="105"/>
      <c r="Q290" s="105"/>
      <c r="R290" s="105"/>
      <c r="S290" s="79"/>
      <c r="T290" s="79"/>
      <c r="U290" s="79"/>
      <c r="V290" s="80"/>
    </row>
    <row r="291" spans="1:22" ht="15.75">
      <c r="A291" s="33">
        <v>289</v>
      </c>
      <c r="B291" s="16" t="s">
        <v>565</v>
      </c>
      <c r="C291" s="52" t="s">
        <v>548</v>
      </c>
      <c r="D291" t="str">
        <f>"9180247"</f>
        <v>9180247</v>
      </c>
      <c r="E291" s="52" t="s">
        <v>468</v>
      </c>
      <c r="F291" s="16" t="s">
        <v>26</v>
      </c>
      <c r="G291" s="52" t="s">
        <v>129</v>
      </c>
      <c r="H291" s="16" t="s">
        <v>129</v>
      </c>
      <c r="I291" s="29">
        <v>1981</v>
      </c>
      <c r="J291" s="53" t="s">
        <v>39</v>
      </c>
      <c r="K291" s="52" t="s">
        <v>139</v>
      </c>
      <c r="L291" s="16"/>
      <c r="M291" s="103">
        <v>31</v>
      </c>
      <c r="N291" s="103">
        <v>32</v>
      </c>
      <c r="O291" s="103">
        <v>29</v>
      </c>
      <c r="P291" s="103">
        <v>29</v>
      </c>
      <c r="Q291" s="103">
        <v>28</v>
      </c>
      <c r="R291" s="103">
        <v>30</v>
      </c>
      <c r="S291" s="79"/>
      <c r="T291" s="79"/>
      <c r="U291" s="79"/>
      <c r="V291" s="80"/>
    </row>
    <row r="292" spans="1:22" ht="15.75">
      <c r="A292" s="33">
        <v>290</v>
      </c>
      <c r="B292" s="16" t="s">
        <v>565</v>
      </c>
      <c r="C292" s="52" t="s">
        <v>549</v>
      </c>
      <c r="D292" t="str">
        <f>"9180248"</f>
        <v>9180248</v>
      </c>
      <c r="E292" s="52" t="s">
        <v>468</v>
      </c>
      <c r="F292" s="16" t="s">
        <v>26</v>
      </c>
      <c r="G292" s="52" t="s">
        <v>129</v>
      </c>
      <c r="H292" s="16" t="s">
        <v>129</v>
      </c>
      <c r="I292" s="29">
        <v>1979</v>
      </c>
      <c r="J292" s="53" t="s">
        <v>39</v>
      </c>
      <c r="K292" s="52" t="s">
        <v>139</v>
      </c>
      <c r="L292" s="16"/>
      <c r="M292" s="103">
        <v>27</v>
      </c>
      <c r="N292" s="103">
        <v>26</v>
      </c>
      <c r="O292" s="103">
        <v>25</v>
      </c>
      <c r="P292" s="103">
        <v>27</v>
      </c>
      <c r="Q292" s="103">
        <v>28</v>
      </c>
      <c r="R292" s="103">
        <v>26</v>
      </c>
      <c r="S292" s="79"/>
      <c r="T292" s="79"/>
      <c r="U292" s="79"/>
      <c r="V292" s="80"/>
    </row>
    <row r="293" spans="1:22" ht="15.75">
      <c r="A293" s="33">
        <v>291</v>
      </c>
      <c r="B293" s="16" t="s">
        <v>565</v>
      </c>
      <c r="C293" s="52" t="s">
        <v>550</v>
      </c>
      <c r="D293" t="str">
        <f>"9180251"</f>
        <v>9180251</v>
      </c>
      <c r="E293" s="52" t="s">
        <v>468</v>
      </c>
      <c r="F293" s="16" t="s">
        <v>26</v>
      </c>
      <c r="G293" s="52" t="s">
        <v>129</v>
      </c>
      <c r="H293" s="16" t="s">
        <v>129</v>
      </c>
      <c r="I293" s="91"/>
      <c r="J293" s="53" t="s">
        <v>40</v>
      </c>
      <c r="K293" s="52" t="s">
        <v>91</v>
      </c>
      <c r="L293" s="16"/>
      <c r="M293" s="103">
        <v>28</v>
      </c>
      <c r="N293" s="103">
        <v>27</v>
      </c>
      <c r="O293" s="103">
        <v>17</v>
      </c>
      <c r="P293" s="103">
        <v>16</v>
      </c>
      <c r="Q293" s="103">
        <v>19</v>
      </c>
      <c r="R293" s="103">
        <v>19</v>
      </c>
      <c r="S293" s="79"/>
      <c r="T293" s="79"/>
      <c r="U293" s="79"/>
      <c r="V293" s="80"/>
    </row>
    <row r="294" spans="1:22" ht="15.75">
      <c r="A294" s="33">
        <v>292</v>
      </c>
      <c r="B294" s="16" t="s">
        <v>565</v>
      </c>
      <c r="C294" s="52" t="s">
        <v>540</v>
      </c>
      <c r="D294" t="str">
        <f>"9180263"</f>
        <v>9180263</v>
      </c>
      <c r="E294" s="52" t="s">
        <v>468</v>
      </c>
      <c r="F294" s="16" t="s">
        <v>26</v>
      </c>
      <c r="G294" s="52" t="s">
        <v>129</v>
      </c>
      <c r="H294" s="16" t="s">
        <v>568</v>
      </c>
      <c r="I294" s="29">
        <v>1996</v>
      </c>
      <c r="J294" s="53" t="s">
        <v>40</v>
      </c>
      <c r="K294" s="52" t="s">
        <v>139</v>
      </c>
      <c r="L294" s="16"/>
      <c r="M294" s="103">
        <v>19</v>
      </c>
      <c r="N294" s="103">
        <v>17</v>
      </c>
      <c r="O294" s="103">
        <v>26</v>
      </c>
      <c r="P294" s="103">
        <v>26</v>
      </c>
      <c r="Q294" s="103">
        <v>21</v>
      </c>
      <c r="R294" s="103">
        <v>26</v>
      </c>
      <c r="S294" s="79"/>
      <c r="T294" s="79"/>
      <c r="U294" s="79"/>
      <c r="V294" s="80"/>
    </row>
    <row r="295" spans="1:22" ht="15.75">
      <c r="A295" s="33">
        <v>293</v>
      </c>
      <c r="B295" s="16" t="s">
        <v>565</v>
      </c>
      <c r="C295" s="52" t="s">
        <v>551</v>
      </c>
      <c r="D295" t="str">
        <f>"9520895"</f>
        <v>9520895</v>
      </c>
      <c r="E295" s="52" t="s">
        <v>468</v>
      </c>
      <c r="F295" s="16" t="s">
        <v>26</v>
      </c>
      <c r="G295" s="52" t="s">
        <v>129</v>
      </c>
      <c r="H295" s="16" t="s">
        <v>129</v>
      </c>
      <c r="I295" s="29">
        <v>2014</v>
      </c>
      <c r="J295" s="53" t="s">
        <v>39</v>
      </c>
      <c r="K295" s="52" t="s">
        <v>91</v>
      </c>
      <c r="L295" s="16"/>
      <c r="M295" s="103">
        <v>15</v>
      </c>
      <c r="N295" s="103">
        <v>15</v>
      </c>
      <c r="O295" s="103">
        <v>13</v>
      </c>
      <c r="P295" s="103">
        <v>13</v>
      </c>
      <c r="Q295" s="103">
        <v>14</v>
      </c>
      <c r="R295" s="103">
        <v>14</v>
      </c>
      <c r="S295" s="79"/>
      <c r="T295" s="79"/>
      <c r="U295" s="79"/>
      <c r="V295" s="80"/>
    </row>
    <row r="296" spans="1:22" ht="15.75">
      <c r="A296" s="33">
        <v>294</v>
      </c>
      <c r="B296" s="16" t="s">
        <v>565</v>
      </c>
      <c r="C296" s="52" t="s">
        <v>557</v>
      </c>
      <c r="D296" s="117"/>
      <c r="E296" s="52" t="s">
        <v>468</v>
      </c>
      <c r="F296" s="16" t="s">
        <v>26</v>
      </c>
      <c r="G296" s="52" t="s">
        <v>129</v>
      </c>
      <c r="H296" s="16" t="s">
        <v>580</v>
      </c>
      <c r="I296" s="29">
        <v>1990</v>
      </c>
      <c r="J296" s="53" t="s">
        <v>40</v>
      </c>
      <c r="K296" s="52" t="s">
        <v>91</v>
      </c>
      <c r="L296" s="16"/>
      <c r="M296" s="103">
        <v>6</v>
      </c>
      <c r="N296" s="103">
        <v>4</v>
      </c>
      <c r="O296" s="104"/>
      <c r="P296" s="103">
        <v>0</v>
      </c>
      <c r="Q296" s="103">
        <v>0</v>
      </c>
      <c r="R296" s="103">
        <v>0</v>
      </c>
      <c r="S296" s="79"/>
      <c r="T296" s="79"/>
      <c r="U296" s="79"/>
      <c r="V296" s="80"/>
    </row>
    <row r="297" spans="1:22" ht="15.75">
      <c r="A297" s="33">
        <v>295</v>
      </c>
      <c r="B297" s="16" t="s">
        <v>565</v>
      </c>
      <c r="C297" s="52" t="s">
        <v>554</v>
      </c>
      <c r="D297" t="str">
        <f>"9180036"</f>
        <v>9180036</v>
      </c>
      <c r="E297" s="52" t="s">
        <v>468</v>
      </c>
      <c r="F297" s="16" t="s">
        <v>26</v>
      </c>
      <c r="G297" s="52" t="s">
        <v>131</v>
      </c>
      <c r="H297" s="16" t="s">
        <v>567</v>
      </c>
      <c r="I297" s="91"/>
      <c r="J297" s="53" t="s">
        <v>40</v>
      </c>
      <c r="K297" s="52" t="s">
        <v>91</v>
      </c>
      <c r="L297" s="16"/>
      <c r="M297" s="103">
        <v>4</v>
      </c>
      <c r="N297" s="103">
        <v>3</v>
      </c>
      <c r="O297" s="104"/>
      <c r="P297" s="103">
        <v>0</v>
      </c>
      <c r="Q297" s="103">
        <v>0</v>
      </c>
      <c r="R297" s="103">
        <v>0</v>
      </c>
      <c r="S297" s="79"/>
      <c r="T297" s="79"/>
      <c r="U297" s="79"/>
      <c r="V297" s="80"/>
    </row>
    <row r="298" spans="1:22" ht="15.75">
      <c r="A298" s="33">
        <v>296</v>
      </c>
      <c r="B298" s="16" t="s">
        <v>565</v>
      </c>
      <c r="C298" s="52" t="s">
        <v>535</v>
      </c>
      <c r="D298" t="str">
        <f>"9180059"</f>
        <v>9180059</v>
      </c>
      <c r="E298" s="52" t="s">
        <v>468</v>
      </c>
      <c r="F298" s="16" t="s">
        <v>26</v>
      </c>
      <c r="G298" s="52" t="s">
        <v>131</v>
      </c>
      <c r="H298" s="16" t="s">
        <v>135</v>
      </c>
      <c r="I298" s="29">
        <v>1920</v>
      </c>
      <c r="J298" s="53" t="s">
        <v>40</v>
      </c>
      <c r="K298" s="52" t="s">
        <v>91</v>
      </c>
      <c r="L298" s="16"/>
      <c r="M298" s="103">
        <v>63</v>
      </c>
      <c r="N298" s="103">
        <v>47</v>
      </c>
      <c r="O298" s="103">
        <v>53</v>
      </c>
      <c r="P298" s="103">
        <v>42</v>
      </c>
      <c r="Q298" s="103">
        <v>34</v>
      </c>
      <c r="R298" s="103">
        <v>36</v>
      </c>
      <c r="S298" s="79"/>
      <c r="T298" s="79"/>
      <c r="U298" s="79"/>
      <c r="V298" s="80"/>
    </row>
    <row r="299" spans="1:22" ht="15.75">
      <c r="A299" s="33">
        <v>297</v>
      </c>
      <c r="B299" s="16" t="s">
        <v>565</v>
      </c>
      <c r="C299" s="52" t="s">
        <v>536</v>
      </c>
      <c r="D299" t="str">
        <f>"9180068"</f>
        <v>9180068</v>
      </c>
      <c r="E299" s="52" t="s">
        <v>468</v>
      </c>
      <c r="F299" s="16" t="s">
        <v>26</v>
      </c>
      <c r="G299" s="52" t="s">
        <v>131</v>
      </c>
      <c r="H299" s="16" t="s">
        <v>132</v>
      </c>
      <c r="I299" s="29">
        <v>1989</v>
      </c>
      <c r="J299" s="53" t="s">
        <v>39</v>
      </c>
      <c r="K299" s="52" t="s">
        <v>91</v>
      </c>
      <c r="L299" s="16"/>
      <c r="M299" s="103">
        <v>18</v>
      </c>
      <c r="N299" s="103">
        <v>17</v>
      </c>
      <c r="O299" s="103">
        <v>18</v>
      </c>
      <c r="P299" s="103">
        <v>17</v>
      </c>
      <c r="Q299" s="103">
        <v>14</v>
      </c>
      <c r="R299" s="103">
        <v>15</v>
      </c>
      <c r="S299" s="79"/>
      <c r="T299" s="79"/>
      <c r="U299" s="79"/>
      <c r="V299" s="80"/>
    </row>
    <row r="300" spans="1:22" ht="15.75">
      <c r="A300" s="33">
        <v>298</v>
      </c>
      <c r="B300" s="16" t="s">
        <v>565</v>
      </c>
      <c r="C300" s="52" t="s">
        <v>553</v>
      </c>
      <c r="D300" t="str">
        <f>"9180070"</f>
        <v>9180070</v>
      </c>
      <c r="E300" s="52" t="s">
        <v>468</v>
      </c>
      <c r="F300" s="16" t="s">
        <v>26</v>
      </c>
      <c r="G300" s="52" t="s">
        <v>131</v>
      </c>
      <c r="H300" s="16" t="s">
        <v>579</v>
      </c>
      <c r="I300" s="29">
        <v>1971</v>
      </c>
      <c r="J300" s="53" t="s">
        <v>40</v>
      </c>
      <c r="K300" s="52" t="s">
        <v>91</v>
      </c>
      <c r="L300" s="16"/>
      <c r="M300" s="103">
        <v>15</v>
      </c>
      <c r="N300" s="103">
        <v>6</v>
      </c>
      <c r="O300" s="103">
        <v>7</v>
      </c>
      <c r="P300" s="103">
        <v>13</v>
      </c>
      <c r="Q300" s="103">
        <v>10</v>
      </c>
      <c r="R300" s="103">
        <v>11</v>
      </c>
      <c r="S300" s="79"/>
      <c r="T300" s="79"/>
      <c r="U300" s="79"/>
      <c r="V300" s="80"/>
    </row>
    <row r="301" spans="1:22" ht="15.75">
      <c r="A301" s="33">
        <v>299</v>
      </c>
      <c r="B301" s="16" t="s">
        <v>565</v>
      </c>
      <c r="C301" s="52" t="s">
        <v>555</v>
      </c>
      <c r="D301" t="str">
        <f>"9180075"</f>
        <v>9180075</v>
      </c>
      <c r="E301" s="52" t="s">
        <v>468</v>
      </c>
      <c r="F301" s="16" t="s">
        <v>26</v>
      </c>
      <c r="G301" s="52" t="s">
        <v>131</v>
      </c>
      <c r="H301" s="16" t="s">
        <v>575</v>
      </c>
      <c r="I301" s="29">
        <v>1986</v>
      </c>
      <c r="J301" s="53" t="s">
        <v>40</v>
      </c>
      <c r="K301" s="52" t="s">
        <v>91</v>
      </c>
      <c r="L301" s="16"/>
      <c r="M301" s="103">
        <v>8</v>
      </c>
      <c r="N301" s="103">
        <v>9</v>
      </c>
      <c r="O301" s="103">
        <v>11</v>
      </c>
      <c r="P301" s="103">
        <v>8</v>
      </c>
      <c r="Q301" s="103">
        <v>8</v>
      </c>
      <c r="R301" s="103">
        <v>12</v>
      </c>
      <c r="S301" s="79"/>
      <c r="T301" s="79"/>
      <c r="U301" s="79"/>
      <c r="V301" s="80"/>
    </row>
    <row r="302" spans="1:22" ht="15.75">
      <c r="A302" s="33">
        <v>300</v>
      </c>
      <c r="B302" s="16" t="s">
        <v>565</v>
      </c>
      <c r="C302" s="52" t="s">
        <v>556</v>
      </c>
      <c r="D302" t="str">
        <f>"9180078"</f>
        <v>9180078</v>
      </c>
      <c r="E302" s="52" t="s">
        <v>468</v>
      </c>
      <c r="F302" s="16" t="s">
        <v>26</v>
      </c>
      <c r="G302" s="52" t="s">
        <v>131</v>
      </c>
      <c r="H302" s="16" t="s">
        <v>576</v>
      </c>
      <c r="I302" s="91"/>
      <c r="J302" s="53" t="s">
        <v>40</v>
      </c>
      <c r="K302" s="52" t="s">
        <v>91</v>
      </c>
      <c r="L302" s="16"/>
      <c r="M302" s="103">
        <v>8</v>
      </c>
      <c r="N302" s="103">
        <v>6</v>
      </c>
      <c r="O302" s="103">
        <v>10</v>
      </c>
      <c r="P302" s="103">
        <v>10</v>
      </c>
      <c r="Q302" s="103">
        <v>13</v>
      </c>
      <c r="R302" s="103">
        <v>12</v>
      </c>
      <c r="S302" s="79"/>
      <c r="T302" s="79"/>
      <c r="U302" s="79"/>
      <c r="V302" s="80"/>
    </row>
    <row r="303" spans="1:22" ht="15.75">
      <c r="A303" s="33">
        <v>301</v>
      </c>
      <c r="B303" s="16" t="s">
        <v>565</v>
      </c>
      <c r="C303" s="52" t="s">
        <v>560</v>
      </c>
      <c r="D303" t="str">
        <f>"9180201"</f>
        <v>9180201</v>
      </c>
      <c r="E303" s="52" t="s">
        <v>468</v>
      </c>
      <c r="F303" s="16" t="s">
        <v>26</v>
      </c>
      <c r="G303" s="52" t="s">
        <v>131</v>
      </c>
      <c r="H303" s="16" t="s">
        <v>134</v>
      </c>
      <c r="I303" s="29">
        <v>1988</v>
      </c>
      <c r="J303" s="53" t="s">
        <v>39</v>
      </c>
      <c r="K303" s="52" t="s">
        <v>91</v>
      </c>
      <c r="L303" s="16"/>
      <c r="M303" s="103">
        <v>25</v>
      </c>
      <c r="N303" s="103">
        <v>35</v>
      </c>
      <c r="O303" s="103">
        <v>30</v>
      </c>
      <c r="P303" s="105"/>
      <c r="Q303" s="105"/>
      <c r="R303" s="105"/>
      <c r="S303" s="79"/>
      <c r="T303" s="79"/>
      <c r="U303" s="79"/>
      <c r="V303" s="80"/>
    </row>
    <row r="304" spans="1:22" ht="15.75">
      <c r="A304" s="33">
        <v>302</v>
      </c>
      <c r="B304" s="16" t="s">
        <v>565</v>
      </c>
      <c r="C304" s="52" t="s">
        <v>545</v>
      </c>
      <c r="D304" t="str">
        <f>"9180232"</f>
        <v>9180232</v>
      </c>
      <c r="E304" s="52" t="s">
        <v>468</v>
      </c>
      <c r="F304" s="16" t="s">
        <v>26</v>
      </c>
      <c r="G304" s="52" t="s">
        <v>131</v>
      </c>
      <c r="H304" s="16" t="s">
        <v>135</v>
      </c>
      <c r="I304" s="29">
        <v>1981</v>
      </c>
      <c r="J304" s="53" t="s">
        <v>39</v>
      </c>
      <c r="K304" s="52" t="s">
        <v>91</v>
      </c>
      <c r="L304" s="16"/>
      <c r="M304" s="103">
        <v>35</v>
      </c>
      <c r="N304" s="103">
        <v>22</v>
      </c>
      <c r="O304" s="103">
        <v>27</v>
      </c>
      <c r="P304" s="103">
        <v>31</v>
      </c>
      <c r="Q304" s="103">
        <v>36</v>
      </c>
      <c r="R304" s="103">
        <v>39</v>
      </c>
      <c r="S304" s="79"/>
      <c r="T304" s="79"/>
      <c r="U304" s="79"/>
      <c r="V304" s="80"/>
    </row>
    <row r="305" spans="1:22" ht="15.75">
      <c r="A305" s="33">
        <v>303</v>
      </c>
      <c r="B305" s="16" t="s">
        <v>565</v>
      </c>
      <c r="C305" s="52" t="s">
        <v>542</v>
      </c>
      <c r="D305" t="str">
        <f>"9180249"</f>
        <v>9180249</v>
      </c>
      <c r="E305" s="52" t="s">
        <v>468</v>
      </c>
      <c r="F305" s="16" t="s">
        <v>26</v>
      </c>
      <c r="G305" s="52" t="s">
        <v>131</v>
      </c>
      <c r="H305" s="16" t="s">
        <v>135</v>
      </c>
      <c r="I305" s="29">
        <v>1981</v>
      </c>
      <c r="J305" s="53" t="s">
        <v>39</v>
      </c>
      <c r="K305" s="52" t="s">
        <v>91</v>
      </c>
      <c r="L305" s="16"/>
      <c r="M305" s="103">
        <v>17</v>
      </c>
      <c r="N305" s="103">
        <v>17</v>
      </c>
      <c r="O305" s="103">
        <v>14</v>
      </c>
      <c r="P305" s="103">
        <v>16</v>
      </c>
      <c r="Q305" s="103">
        <v>18</v>
      </c>
      <c r="R305" s="103">
        <v>19</v>
      </c>
      <c r="S305" s="79"/>
      <c r="T305" s="79"/>
      <c r="U305" s="79"/>
      <c r="V305" s="80"/>
    </row>
    <row r="306" spans="1:22" ht="15.75">
      <c r="A306" s="33">
        <v>304</v>
      </c>
      <c r="B306" s="16" t="s">
        <v>565</v>
      </c>
      <c r="C306" s="52" t="s">
        <v>564</v>
      </c>
      <c r="D306" t="str">
        <f>"9520972"</f>
        <v>9520972</v>
      </c>
      <c r="E306" s="52" t="s">
        <v>468</v>
      </c>
      <c r="F306" s="16" t="s">
        <v>26</v>
      </c>
      <c r="G306" s="52" t="s">
        <v>131</v>
      </c>
      <c r="H306" s="16" t="s">
        <v>577</v>
      </c>
      <c r="I306" s="91"/>
      <c r="J306" s="53" t="s">
        <v>40</v>
      </c>
      <c r="K306" s="52" t="s">
        <v>91</v>
      </c>
      <c r="L306" s="16"/>
      <c r="M306" s="103">
        <v>26</v>
      </c>
      <c r="N306" s="103">
        <v>25</v>
      </c>
      <c r="O306" s="103">
        <v>24</v>
      </c>
      <c r="P306" s="103">
        <v>14</v>
      </c>
      <c r="Q306" s="103">
        <v>12</v>
      </c>
      <c r="R306" s="103">
        <v>15</v>
      </c>
      <c r="S306" s="79"/>
      <c r="T306" s="79"/>
      <c r="U306" s="79"/>
      <c r="V306" s="80"/>
    </row>
    <row r="307" spans="1:22" ht="15.75">
      <c r="A307" s="33">
        <v>305</v>
      </c>
      <c r="B307" s="16" t="s">
        <v>565</v>
      </c>
      <c r="C307" s="52" t="s">
        <v>532</v>
      </c>
      <c r="D307" t="str">
        <f>"9180137"</f>
        <v>9180137</v>
      </c>
      <c r="E307" s="52" t="s">
        <v>468</v>
      </c>
      <c r="F307" s="16" t="s">
        <v>26</v>
      </c>
      <c r="G307" s="52" t="s">
        <v>130</v>
      </c>
      <c r="H307" s="16" t="s">
        <v>130</v>
      </c>
      <c r="I307" s="91"/>
      <c r="J307" s="53" t="s">
        <v>40</v>
      </c>
      <c r="K307" s="52" t="s">
        <v>91</v>
      </c>
      <c r="L307" s="16"/>
      <c r="M307" s="103">
        <v>45</v>
      </c>
      <c r="N307" s="103">
        <v>47</v>
      </c>
      <c r="O307" s="103">
        <v>46</v>
      </c>
      <c r="P307" s="103">
        <v>44</v>
      </c>
      <c r="Q307" s="103">
        <v>50</v>
      </c>
      <c r="R307" s="103">
        <v>55</v>
      </c>
      <c r="S307" s="79"/>
      <c r="T307" s="79"/>
      <c r="U307" s="79"/>
      <c r="V307" s="80"/>
    </row>
    <row r="308" spans="1:22" ht="15.75">
      <c r="A308" s="33">
        <v>306</v>
      </c>
      <c r="B308" s="16" t="s">
        <v>565</v>
      </c>
      <c r="C308" s="52" t="s">
        <v>543</v>
      </c>
      <c r="D308" t="str">
        <f>"9180139"</f>
        <v>9180139</v>
      </c>
      <c r="E308" s="52" t="s">
        <v>468</v>
      </c>
      <c r="F308" s="16" t="s">
        <v>26</v>
      </c>
      <c r="G308" s="52" t="s">
        <v>130</v>
      </c>
      <c r="H308" s="16" t="s">
        <v>130</v>
      </c>
      <c r="I308" s="29">
        <v>1923</v>
      </c>
      <c r="J308" s="53" t="s">
        <v>40</v>
      </c>
      <c r="K308" s="52" t="s">
        <v>91</v>
      </c>
      <c r="L308" s="16"/>
      <c r="M308" s="103">
        <v>18</v>
      </c>
      <c r="N308" s="103">
        <v>25</v>
      </c>
      <c r="O308" s="103">
        <v>26</v>
      </c>
      <c r="P308" s="103">
        <v>26</v>
      </c>
      <c r="Q308" s="103">
        <v>30</v>
      </c>
      <c r="R308" s="103">
        <v>32</v>
      </c>
      <c r="S308" s="79"/>
      <c r="T308" s="79"/>
      <c r="U308" s="79"/>
      <c r="V308" s="80"/>
    </row>
    <row r="309" spans="1:22" ht="15.75">
      <c r="A309" s="33">
        <v>307</v>
      </c>
      <c r="B309" s="16" t="s">
        <v>565</v>
      </c>
      <c r="C309" s="52" t="s">
        <v>530</v>
      </c>
      <c r="D309" t="str">
        <f>"9180146"</f>
        <v>9180146</v>
      </c>
      <c r="E309" s="52" t="s">
        <v>468</v>
      </c>
      <c r="F309" s="16" t="s">
        <v>26</v>
      </c>
      <c r="G309" s="52" t="s">
        <v>130</v>
      </c>
      <c r="H309" s="16" t="s">
        <v>574</v>
      </c>
      <c r="I309" s="29">
        <v>1960</v>
      </c>
      <c r="J309" s="53" t="s">
        <v>40</v>
      </c>
      <c r="K309" s="52" t="s">
        <v>91</v>
      </c>
      <c r="L309" s="16"/>
      <c r="M309" s="103">
        <v>5</v>
      </c>
      <c r="N309" s="103">
        <v>7</v>
      </c>
      <c r="O309" s="103">
        <v>5</v>
      </c>
      <c r="P309" s="103">
        <v>6</v>
      </c>
      <c r="Q309" s="103">
        <v>6</v>
      </c>
      <c r="R309" s="103">
        <v>8</v>
      </c>
      <c r="S309" s="79"/>
      <c r="T309" s="79"/>
      <c r="U309" s="79"/>
      <c r="V309" s="80"/>
    </row>
    <row r="310" spans="1:22" ht="15.75">
      <c r="A310" s="33">
        <v>308</v>
      </c>
      <c r="B310" s="16" t="s">
        <v>565</v>
      </c>
      <c r="C310" s="52" t="s">
        <v>562</v>
      </c>
      <c r="D310" t="str">
        <f>"9180188"</f>
        <v>9180188</v>
      </c>
      <c r="E310" s="52" t="s">
        <v>468</v>
      </c>
      <c r="F310" s="16" t="s">
        <v>26</v>
      </c>
      <c r="G310" s="52" t="s">
        <v>130</v>
      </c>
      <c r="H310" s="16" t="s">
        <v>566</v>
      </c>
      <c r="I310" s="91"/>
      <c r="J310" s="53" t="s">
        <v>40</v>
      </c>
      <c r="K310" s="52" t="s">
        <v>91</v>
      </c>
      <c r="L310" s="16"/>
      <c r="M310" s="103">
        <v>19</v>
      </c>
      <c r="N310" s="103">
        <v>15</v>
      </c>
      <c r="O310" s="103">
        <v>17</v>
      </c>
      <c r="P310" s="103">
        <v>15</v>
      </c>
      <c r="Q310" s="103">
        <v>15</v>
      </c>
      <c r="R310" s="103">
        <v>14</v>
      </c>
      <c r="S310" s="78"/>
      <c r="T310" s="78"/>
      <c r="U310" s="78"/>
      <c r="V310" s="78"/>
    </row>
    <row r="311" spans="1:22" ht="15.75">
      <c r="A311" s="33">
        <v>309</v>
      </c>
      <c r="B311" s="16" t="s">
        <v>565</v>
      </c>
      <c r="C311" s="52" t="s">
        <v>558</v>
      </c>
      <c r="D311" s="76" t="str">
        <f>"9521681"</f>
        <v>9521681</v>
      </c>
      <c r="E311" s="52" t="s">
        <v>468</v>
      </c>
      <c r="F311" s="16" t="s">
        <v>26</v>
      </c>
      <c r="G311" s="52" t="s">
        <v>130</v>
      </c>
      <c r="H311" s="16" t="s">
        <v>570</v>
      </c>
      <c r="I311" s="29">
        <v>1956</v>
      </c>
      <c r="J311" s="53" t="s">
        <v>40</v>
      </c>
      <c r="K311" s="52" t="s">
        <v>91</v>
      </c>
      <c r="L311" s="16"/>
      <c r="M311" s="103">
        <v>13</v>
      </c>
      <c r="N311" s="103">
        <v>13</v>
      </c>
      <c r="O311" s="103">
        <v>11</v>
      </c>
      <c r="P311" s="103">
        <v>14</v>
      </c>
      <c r="Q311" s="103">
        <v>17</v>
      </c>
      <c r="R311" s="103">
        <v>15</v>
      </c>
      <c r="S311" s="78"/>
      <c r="T311" s="78"/>
      <c r="U311" s="78"/>
      <c r="V311" s="78"/>
    </row>
    <row r="312" spans="1:22" ht="15.75">
      <c r="A312" s="33">
        <v>310</v>
      </c>
      <c r="B312" s="16" t="s">
        <v>453</v>
      </c>
      <c r="C312" s="34" t="s">
        <v>449</v>
      </c>
      <c r="D312" t="str">
        <f>"9200167"</f>
        <v>9200167</v>
      </c>
      <c r="E312" s="34" t="s">
        <v>467</v>
      </c>
      <c r="F312" s="2" t="s">
        <v>27</v>
      </c>
      <c r="G312" s="77" t="s">
        <v>226</v>
      </c>
      <c r="H312" s="12" t="s">
        <v>232</v>
      </c>
      <c r="I312" s="37">
        <v>1953</v>
      </c>
      <c r="J312" s="36" t="s">
        <v>40</v>
      </c>
      <c r="K312" s="34" t="s">
        <v>91</v>
      </c>
      <c r="L312" s="75"/>
      <c r="M312" s="101">
        <v>32</v>
      </c>
      <c r="N312" s="101">
        <v>29</v>
      </c>
      <c r="O312" s="101">
        <v>28</v>
      </c>
      <c r="P312" s="105">
        <v>26</v>
      </c>
      <c r="Q312" s="105">
        <v>18</v>
      </c>
      <c r="R312" s="105">
        <v>13</v>
      </c>
    </row>
    <row r="313" spans="1:22" ht="15.75">
      <c r="A313" s="33">
        <v>311</v>
      </c>
      <c r="B313" s="16" t="s">
        <v>453</v>
      </c>
      <c r="C313" s="34" t="s">
        <v>425</v>
      </c>
      <c r="D313" t="str">
        <f>"9200215"</f>
        <v>9200215</v>
      </c>
      <c r="E313" s="34" t="s">
        <v>467</v>
      </c>
      <c r="F313" s="2" t="s">
        <v>27</v>
      </c>
      <c r="G313" s="77" t="s">
        <v>226</v>
      </c>
      <c r="H313" s="12" t="s">
        <v>500</v>
      </c>
      <c r="I313" s="37">
        <v>1946</v>
      </c>
      <c r="J313" s="36" t="s">
        <v>40</v>
      </c>
      <c r="K313" s="34" t="s">
        <v>91</v>
      </c>
      <c r="L313" s="75"/>
      <c r="M313" s="101">
        <v>6</v>
      </c>
      <c r="N313" s="101">
        <v>6</v>
      </c>
      <c r="O313" s="101">
        <v>6</v>
      </c>
      <c r="P313" s="105">
        <v>5</v>
      </c>
      <c r="Q313" s="105">
        <v>6</v>
      </c>
      <c r="R313" s="105">
        <v>4</v>
      </c>
    </row>
    <row r="314" spans="1:22" ht="15.75">
      <c r="A314" s="33">
        <v>312</v>
      </c>
      <c r="B314" s="16" t="s">
        <v>453</v>
      </c>
      <c r="C314" s="34" t="s">
        <v>461</v>
      </c>
      <c r="D314" s="96"/>
      <c r="E314" s="34" t="s">
        <v>467</v>
      </c>
      <c r="F314" s="2" t="s">
        <v>27</v>
      </c>
      <c r="G314" s="77" t="s">
        <v>226</v>
      </c>
      <c r="H314" s="12" t="s">
        <v>484</v>
      </c>
      <c r="I314" s="37">
        <v>1976</v>
      </c>
      <c r="J314" s="36" t="s">
        <v>40</v>
      </c>
      <c r="K314" s="34" t="s">
        <v>91</v>
      </c>
      <c r="L314" s="75"/>
      <c r="M314" s="104"/>
      <c r="N314" s="104"/>
      <c r="O314" s="104"/>
      <c r="P314" s="105"/>
      <c r="Q314" s="105"/>
      <c r="R314" s="105"/>
    </row>
    <row r="315" spans="1:22" ht="15.75">
      <c r="A315" s="33">
        <v>313</v>
      </c>
      <c r="B315" s="16" t="s">
        <v>453</v>
      </c>
      <c r="C315" s="34" t="s">
        <v>462</v>
      </c>
      <c r="D315" s="96"/>
      <c r="E315" s="34" t="s">
        <v>467</v>
      </c>
      <c r="F315" s="2" t="s">
        <v>27</v>
      </c>
      <c r="G315" s="77" t="s">
        <v>226</v>
      </c>
      <c r="H315" s="12" t="s">
        <v>487</v>
      </c>
      <c r="I315" s="37">
        <v>1960</v>
      </c>
      <c r="J315" s="36" t="s">
        <v>40</v>
      </c>
      <c r="K315" s="34" t="s">
        <v>91</v>
      </c>
      <c r="L315" s="75"/>
      <c r="M315" s="101">
        <v>0</v>
      </c>
      <c r="N315" s="104"/>
      <c r="O315" s="104"/>
      <c r="P315" s="105"/>
      <c r="Q315" s="105"/>
      <c r="R315" s="105"/>
    </row>
    <row r="316" spans="1:22" ht="15.75">
      <c r="A316" s="33">
        <v>314</v>
      </c>
      <c r="B316" s="16" t="s">
        <v>453</v>
      </c>
      <c r="C316" s="34" t="s">
        <v>428</v>
      </c>
      <c r="D316" t="str">
        <f>"9200091"</f>
        <v>9200091</v>
      </c>
      <c r="E316" s="34" t="s">
        <v>467</v>
      </c>
      <c r="F316" s="2" t="s">
        <v>27</v>
      </c>
      <c r="G316" s="76" t="s">
        <v>329</v>
      </c>
      <c r="H316" s="12" t="s">
        <v>478</v>
      </c>
      <c r="I316" s="37">
        <v>1991</v>
      </c>
      <c r="J316" s="36" t="s">
        <v>40</v>
      </c>
      <c r="K316" s="34" t="s">
        <v>91</v>
      </c>
      <c r="L316" s="75"/>
      <c r="M316" s="101">
        <v>8</v>
      </c>
      <c r="N316" s="101">
        <v>7</v>
      </c>
      <c r="O316" s="101">
        <v>6</v>
      </c>
      <c r="P316" s="105">
        <v>4</v>
      </c>
      <c r="Q316" s="105">
        <v>4</v>
      </c>
      <c r="R316" s="105">
        <v>4</v>
      </c>
    </row>
    <row r="317" spans="1:22" ht="15.75">
      <c r="A317" s="33">
        <v>315</v>
      </c>
      <c r="B317" s="16" t="s">
        <v>453</v>
      </c>
      <c r="C317" s="34" t="s">
        <v>415</v>
      </c>
      <c r="D317" t="str">
        <f>"9200106"</f>
        <v>9200106</v>
      </c>
      <c r="E317" s="34" t="s">
        <v>467</v>
      </c>
      <c r="F317" s="2" t="s">
        <v>27</v>
      </c>
      <c r="G317" s="76" t="s">
        <v>329</v>
      </c>
      <c r="H317" s="12" t="s">
        <v>470</v>
      </c>
      <c r="I317" s="37">
        <v>1989</v>
      </c>
      <c r="J317" s="36" t="s">
        <v>39</v>
      </c>
      <c r="K317" s="34" t="s">
        <v>91</v>
      </c>
      <c r="L317" s="75"/>
      <c r="M317" s="101">
        <v>104</v>
      </c>
      <c r="N317" s="101">
        <v>98</v>
      </c>
      <c r="O317" s="101">
        <v>95</v>
      </c>
      <c r="P317" s="105">
        <v>97</v>
      </c>
      <c r="Q317" s="105">
        <v>100</v>
      </c>
      <c r="R317" s="105">
        <v>95</v>
      </c>
    </row>
    <row r="318" spans="1:22" ht="15.75">
      <c r="A318" s="33">
        <v>316</v>
      </c>
      <c r="B318" s="16" t="s">
        <v>453</v>
      </c>
      <c r="C318" s="34" t="s">
        <v>448</v>
      </c>
      <c r="D318" t="str">
        <f>"9200132"</f>
        <v>9200132</v>
      </c>
      <c r="E318" s="34" t="s">
        <v>467</v>
      </c>
      <c r="F318" s="2" t="s">
        <v>27</v>
      </c>
      <c r="G318" s="76" t="s">
        <v>329</v>
      </c>
      <c r="H318" s="12" t="s">
        <v>504</v>
      </c>
      <c r="I318" s="37">
        <v>1946</v>
      </c>
      <c r="J318" s="36" t="s">
        <v>40</v>
      </c>
      <c r="K318" s="34" t="s">
        <v>91</v>
      </c>
      <c r="L318" s="75"/>
      <c r="M318" s="101">
        <v>3</v>
      </c>
      <c r="N318" s="101">
        <v>3</v>
      </c>
      <c r="O318" s="104"/>
      <c r="P318" s="105"/>
      <c r="Q318" s="105"/>
      <c r="R318" s="105"/>
    </row>
    <row r="319" spans="1:22" ht="15.75">
      <c r="A319" s="33">
        <v>317</v>
      </c>
      <c r="B319" s="16" t="s">
        <v>453</v>
      </c>
      <c r="C319" s="34" t="s">
        <v>431</v>
      </c>
      <c r="D319" t="str">
        <f>"9200136"</f>
        <v>9200136</v>
      </c>
      <c r="E319" s="34" t="s">
        <v>467</v>
      </c>
      <c r="F319" s="2" t="s">
        <v>27</v>
      </c>
      <c r="G319" s="76" t="s">
        <v>329</v>
      </c>
      <c r="H319" s="12" t="s">
        <v>501</v>
      </c>
      <c r="I319" s="37">
        <v>1952</v>
      </c>
      <c r="J319" s="36" t="s">
        <v>40</v>
      </c>
      <c r="K319" s="34" t="s">
        <v>91</v>
      </c>
      <c r="L319" s="75"/>
      <c r="M319" s="101">
        <v>24</v>
      </c>
      <c r="N319" s="101">
        <v>23</v>
      </c>
      <c r="O319" s="101">
        <v>22</v>
      </c>
      <c r="P319" s="105">
        <v>21</v>
      </c>
      <c r="Q319" s="105">
        <v>19</v>
      </c>
      <c r="R319" s="105">
        <v>16</v>
      </c>
    </row>
    <row r="320" spans="1:22" ht="15.75">
      <c r="A320" s="33">
        <v>318</v>
      </c>
      <c r="B320" s="16" t="s">
        <v>453</v>
      </c>
      <c r="C320" s="34" t="s">
        <v>443</v>
      </c>
      <c r="D320" t="str">
        <f>"9200147"</f>
        <v>9200147</v>
      </c>
      <c r="E320" s="34" t="s">
        <v>467</v>
      </c>
      <c r="F320" s="2" t="s">
        <v>27</v>
      </c>
      <c r="G320" s="76" t="s">
        <v>329</v>
      </c>
      <c r="H320" s="12" t="s">
        <v>503</v>
      </c>
      <c r="I320" s="37">
        <v>1951</v>
      </c>
      <c r="J320" s="36" t="s">
        <v>40</v>
      </c>
      <c r="K320" s="34" t="s">
        <v>91</v>
      </c>
      <c r="L320" s="75"/>
      <c r="M320" s="101">
        <v>6</v>
      </c>
      <c r="N320" s="101">
        <v>8</v>
      </c>
      <c r="O320" s="101">
        <v>10</v>
      </c>
      <c r="P320" s="105">
        <v>7</v>
      </c>
      <c r="Q320" s="105">
        <v>9</v>
      </c>
      <c r="R320" s="105">
        <v>9</v>
      </c>
    </row>
    <row r="321" spans="1:18" ht="15.75">
      <c r="A321" s="33">
        <v>319</v>
      </c>
      <c r="B321" s="16" t="s">
        <v>453</v>
      </c>
      <c r="C321" s="34" t="s">
        <v>426</v>
      </c>
      <c r="D321" t="str">
        <f>"9200257"</f>
        <v>9200257</v>
      </c>
      <c r="E321" s="34" t="s">
        <v>467</v>
      </c>
      <c r="F321" s="2" t="s">
        <v>27</v>
      </c>
      <c r="G321" s="76" t="s">
        <v>329</v>
      </c>
      <c r="H321" s="12" t="s">
        <v>476</v>
      </c>
      <c r="I321" s="91"/>
      <c r="J321" s="36" t="s">
        <v>39</v>
      </c>
      <c r="K321" s="34" t="s">
        <v>91</v>
      </c>
      <c r="L321" s="75"/>
      <c r="M321" s="101">
        <v>8</v>
      </c>
      <c r="N321" s="101">
        <v>10</v>
      </c>
      <c r="O321" s="101">
        <v>9</v>
      </c>
      <c r="P321" s="105">
        <v>3</v>
      </c>
      <c r="Q321" s="105">
        <v>4</v>
      </c>
      <c r="R321" s="105">
        <v>6</v>
      </c>
    </row>
    <row r="322" spans="1:18" ht="15.75">
      <c r="A322" s="33">
        <v>320</v>
      </c>
      <c r="B322" s="16" t="s">
        <v>453</v>
      </c>
      <c r="C322" s="34" t="s">
        <v>440</v>
      </c>
      <c r="D322" t="str">
        <f>"9200028"</f>
        <v>9200028</v>
      </c>
      <c r="E322" s="34" t="s">
        <v>467</v>
      </c>
      <c r="F322" s="2" t="s">
        <v>27</v>
      </c>
      <c r="G322" s="76" t="s">
        <v>335</v>
      </c>
      <c r="H322" s="12" t="s">
        <v>485</v>
      </c>
      <c r="I322" s="37">
        <v>2007</v>
      </c>
      <c r="J322" s="36" t="s">
        <v>40</v>
      </c>
      <c r="K322" s="34" t="s">
        <v>91</v>
      </c>
      <c r="L322" s="75"/>
      <c r="M322" s="101">
        <v>8</v>
      </c>
      <c r="N322" s="101">
        <v>7</v>
      </c>
      <c r="O322" s="101">
        <v>5</v>
      </c>
      <c r="P322" s="105">
        <v>5</v>
      </c>
      <c r="Q322" s="105">
        <v>4</v>
      </c>
      <c r="R322" s="105">
        <v>4</v>
      </c>
    </row>
    <row r="323" spans="1:18" ht="15.75">
      <c r="A323" s="33">
        <v>321</v>
      </c>
      <c r="B323" s="16" t="s">
        <v>453</v>
      </c>
      <c r="C323" s="34" t="s">
        <v>444</v>
      </c>
      <c r="D323" t="str">
        <f>"9200293"</f>
        <v>9200293</v>
      </c>
      <c r="E323" s="34" t="s">
        <v>467</v>
      </c>
      <c r="F323" s="2" t="s">
        <v>27</v>
      </c>
      <c r="G323" s="76" t="s">
        <v>335</v>
      </c>
      <c r="H323" s="12" t="s">
        <v>369</v>
      </c>
      <c r="I323" s="37">
        <v>1897</v>
      </c>
      <c r="J323" s="36" t="s">
        <v>40</v>
      </c>
      <c r="K323" s="34" t="s">
        <v>91</v>
      </c>
      <c r="L323" s="75"/>
      <c r="M323" s="101">
        <v>6</v>
      </c>
      <c r="N323" s="101">
        <v>7</v>
      </c>
      <c r="O323" s="101">
        <v>6</v>
      </c>
      <c r="P323" s="105">
        <v>6</v>
      </c>
      <c r="Q323" s="105">
        <v>6</v>
      </c>
      <c r="R323" s="105">
        <v>6</v>
      </c>
    </row>
    <row r="324" spans="1:18" ht="15.75">
      <c r="A324" s="33">
        <v>322</v>
      </c>
      <c r="B324" s="16" t="s">
        <v>453</v>
      </c>
      <c r="C324" s="34" t="s">
        <v>463</v>
      </c>
      <c r="D324" s="96"/>
      <c r="E324" s="34" t="s">
        <v>467</v>
      </c>
      <c r="F324" s="2" t="s">
        <v>27</v>
      </c>
      <c r="G324" s="76" t="s">
        <v>335</v>
      </c>
      <c r="H324" s="12" t="s">
        <v>489</v>
      </c>
      <c r="I324" s="37">
        <v>1932</v>
      </c>
      <c r="J324" s="36" t="s">
        <v>40</v>
      </c>
      <c r="K324" s="34" t="s">
        <v>91</v>
      </c>
      <c r="L324" s="75"/>
      <c r="M324" s="104"/>
      <c r="N324" s="104"/>
      <c r="O324" s="104"/>
      <c r="P324" s="105"/>
      <c r="Q324" s="105"/>
      <c r="R324" s="105"/>
    </row>
    <row r="325" spans="1:18" ht="15.75">
      <c r="A325" s="33">
        <v>323</v>
      </c>
      <c r="B325" s="16" t="s">
        <v>453</v>
      </c>
      <c r="C325" s="34" t="s">
        <v>408</v>
      </c>
      <c r="D325" t="str">
        <f>"9200016"</f>
        <v>9200016</v>
      </c>
      <c r="E325" s="34" t="s">
        <v>467</v>
      </c>
      <c r="F325" s="2" t="s">
        <v>27</v>
      </c>
      <c r="G325" s="76" t="s">
        <v>228</v>
      </c>
      <c r="H325" s="12" t="s">
        <v>236</v>
      </c>
      <c r="I325" s="37">
        <v>2008</v>
      </c>
      <c r="J325" s="36" t="s">
        <v>39</v>
      </c>
      <c r="K325" s="34" t="s">
        <v>91</v>
      </c>
      <c r="L325" s="75"/>
      <c r="M325" s="101">
        <v>300</v>
      </c>
      <c r="N325" s="101">
        <v>273</v>
      </c>
      <c r="O325" s="101">
        <v>252</v>
      </c>
      <c r="P325" s="105">
        <v>240</v>
      </c>
      <c r="Q325" s="105">
        <v>236</v>
      </c>
      <c r="R325" s="105">
        <v>242</v>
      </c>
    </row>
    <row r="326" spans="1:18" ht="15.75">
      <c r="A326" s="33">
        <v>324</v>
      </c>
      <c r="B326" s="16" t="s">
        <v>453</v>
      </c>
      <c r="C326" s="34" t="s">
        <v>427</v>
      </c>
      <c r="D326" t="str">
        <f>"9200020"</f>
        <v>9200020</v>
      </c>
      <c r="E326" s="34" t="s">
        <v>467</v>
      </c>
      <c r="F326" s="2" t="s">
        <v>27</v>
      </c>
      <c r="G326" s="76" t="s">
        <v>228</v>
      </c>
      <c r="H326" s="12" t="s">
        <v>228</v>
      </c>
      <c r="I326" s="37">
        <v>1948</v>
      </c>
      <c r="J326" s="36" t="s">
        <v>40</v>
      </c>
      <c r="K326" s="34" t="s">
        <v>91</v>
      </c>
      <c r="L326" s="75"/>
      <c r="M326" s="101">
        <v>24</v>
      </c>
      <c r="N326" s="101">
        <v>23</v>
      </c>
      <c r="O326" s="101">
        <v>19</v>
      </c>
      <c r="P326" s="105">
        <v>18</v>
      </c>
      <c r="Q326" s="105">
        <v>14</v>
      </c>
      <c r="R326" s="105">
        <v>16</v>
      </c>
    </row>
    <row r="327" spans="1:18" ht="15.75">
      <c r="A327" s="33">
        <v>325</v>
      </c>
      <c r="B327" s="16" t="s">
        <v>453</v>
      </c>
      <c r="C327" s="34" t="s">
        <v>437</v>
      </c>
      <c r="D327" t="str">
        <f>"9200029"</f>
        <v>9200029</v>
      </c>
      <c r="E327" s="34" t="s">
        <v>467</v>
      </c>
      <c r="F327" s="2" t="s">
        <v>27</v>
      </c>
      <c r="G327" s="76" t="s">
        <v>228</v>
      </c>
      <c r="H327" s="12" t="s">
        <v>241</v>
      </c>
      <c r="I327" s="37">
        <v>1983</v>
      </c>
      <c r="J327" s="36" t="s">
        <v>39</v>
      </c>
      <c r="K327" s="34" t="s">
        <v>91</v>
      </c>
      <c r="L327" s="75"/>
      <c r="M327" s="101">
        <v>73</v>
      </c>
      <c r="N327" s="101">
        <v>65</v>
      </c>
      <c r="O327" s="101">
        <v>62</v>
      </c>
      <c r="P327" s="105">
        <v>64</v>
      </c>
      <c r="Q327" s="105">
        <v>63</v>
      </c>
      <c r="R327" s="105">
        <v>52</v>
      </c>
    </row>
    <row r="328" spans="1:18" ht="15.75">
      <c r="A328" s="33">
        <v>326</v>
      </c>
      <c r="B328" s="16" t="s">
        <v>453</v>
      </c>
      <c r="C328" s="34" t="s">
        <v>450</v>
      </c>
      <c r="D328" t="str">
        <f>"9200073"</f>
        <v>9200073</v>
      </c>
      <c r="E328" s="34" t="s">
        <v>467</v>
      </c>
      <c r="F328" s="2" t="s">
        <v>27</v>
      </c>
      <c r="G328" s="76" t="s">
        <v>228</v>
      </c>
      <c r="H328" s="12" t="s">
        <v>488</v>
      </c>
      <c r="I328" s="37">
        <v>1986</v>
      </c>
      <c r="J328" s="36" t="s">
        <v>39</v>
      </c>
      <c r="K328" s="34" t="s">
        <v>91</v>
      </c>
      <c r="L328" s="75"/>
      <c r="M328" s="101">
        <v>58</v>
      </c>
      <c r="N328" s="101">
        <v>55</v>
      </c>
      <c r="O328" s="101">
        <v>63</v>
      </c>
      <c r="P328" s="105">
        <v>54</v>
      </c>
      <c r="Q328" s="105">
        <v>45</v>
      </c>
      <c r="R328" s="105">
        <v>43</v>
      </c>
    </row>
    <row r="329" spans="1:18" ht="15.75">
      <c r="A329" s="33">
        <v>327</v>
      </c>
      <c r="B329" s="16" t="s">
        <v>453</v>
      </c>
      <c r="C329" s="34" t="s">
        <v>417</v>
      </c>
      <c r="D329" t="str">
        <f>"9200199"</f>
        <v>9200199</v>
      </c>
      <c r="E329" s="34" t="s">
        <v>467</v>
      </c>
      <c r="F329" s="2" t="s">
        <v>27</v>
      </c>
      <c r="G329" s="76" t="s">
        <v>228</v>
      </c>
      <c r="H329" s="12" t="s">
        <v>497</v>
      </c>
      <c r="I329" s="37">
        <v>1955</v>
      </c>
      <c r="J329" s="36" t="s">
        <v>40</v>
      </c>
      <c r="K329" s="34" t="s">
        <v>91</v>
      </c>
      <c r="L329" s="75"/>
      <c r="M329" s="101">
        <v>17</v>
      </c>
      <c r="N329" s="101">
        <v>13</v>
      </c>
      <c r="O329" s="101">
        <v>15</v>
      </c>
      <c r="P329" s="105">
        <v>16</v>
      </c>
      <c r="Q329" s="105">
        <v>16</v>
      </c>
      <c r="R329" s="105">
        <v>20</v>
      </c>
    </row>
    <row r="330" spans="1:18" ht="15.75">
      <c r="A330" s="33">
        <v>328</v>
      </c>
      <c r="B330" s="16" t="s">
        <v>453</v>
      </c>
      <c r="C330" s="34" t="s">
        <v>421</v>
      </c>
      <c r="D330" t="str">
        <f>"9200215"</f>
        <v>9200215</v>
      </c>
      <c r="E330" s="34" t="s">
        <v>467</v>
      </c>
      <c r="F330" s="2" t="s">
        <v>27</v>
      </c>
      <c r="G330" s="76" t="s">
        <v>228</v>
      </c>
      <c r="H330" s="12" t="s">
        <v>474</v>
      </c>
      <c r="I330" s="37">
        <v>1994</v>
      </c>
      <c r="J330" s="36" t="s">
        <v>39</v>
      </c>
      <c r="K330" s="34" t="s">
        <v>91</v>
      </c>
      <c r="L330" s="75"/>
      <c r="M330" s="101">
        <v>116</v>
      </c>
      <c r="N330" s="101">
        <v>109</v>
      </c>
      <c r="O330" s="101">
        <v>108</v>
      </c>
      <c r="P330" s="105">
        <v>115</v>
      </c>
      <c r="Q330" s="105">
        <v>117</v>
      </c>
      <c r="R330" s="105">
        <v>113</v>
      </c>
    </row>
    <row r="331" spans="1:18" ht="15.75">
      <c r="A331" s="33">
        <v>329</v>
      </c>
      <c r="B331" s="16" t="s">
        <v>453</v>
      </c>
      <c r="C331" s="34" t="s">
        <v>422</v>
      </c>
      <c r="D331" s="76" t="str">
        <f>"9200257"</f>
        <v>9200257</v>
      </c>
      <c r="E331" s="34" t="s">
        <v>467</v>
      </c>
      <c r="F331" s="2" t="s">
        <v>27</v>
      </c>
      <c r="G331" s="76" t="s">
        <v>228</v>
      </c>
      <c r="H331" s="12" t="s">
        <v>491</v>
      </c>
      <c r="I331" s="37">
        <v>1937</v>
      </c>
      <c r="J331" s="36" t="s">
        <v>40</v>
      </c>
      <c r="K331" s="34" t="s">
        <v>91</v>
      </c>
      <c r="L331" s="75"/>
      <c r="M331" s="101">
        <v>10</v>
      </c>
      <c r="N331" s="101">
        <v>11</v>
      </c>
      <c r="O331" s="101">
        <v>9</v>
      </c>
      <c r="P331" s="105">
        <v>8</v>
      </c>
      <c r="Q331" s="105">
        <v>6</v>
      </c>
      <c r="R331" s="105">
        <v>8</v>
      </c>
    </row>
    <row r="332" spans="1:18" ht="15.75">
      <c r="A332" s="33">
        <v>330</v>
      </c>
      <c r="B332" s="16" t="s">
        <v>453</v>
      </c>
      <c r="C332" s="34" t="s">
        <v>433</v>
      </c>
      <c r="D332" t="str">
        <f>"9200367"</f>
        <v>9200367</v>
      </c>
      <c r="E332" s="34" t="s">
        <v>467</v>
      </c>
      <c r="F332" s="2" t="s">
        <v>27</v>
      </c>
      <c r="G332" s="76" t="s">
        <v>228</v>
      </c>
      <c r="H332" s="12" t="s">
        <v>481</v>
      </c>
      <c r="I332" s="37">
        <v>1932</v>
      </c>
      <c r="J332" s="36" t="s">
        <v>40</v>
      </c>
      <c r="K332" s="34" t="s">
        <v>91</v>
      </c>
      <c r="L332" s="75"/>
      <c r="M332" s="101">
        <v>19</v>
      </c>
      <c r="N332" s="101">
        <v>20</v>
      </c>
      <c r="O332" s="101">
        <v>18</v>
      </c>
      <c r="P332" s="105">
        <v>15</v>
      </c>
      <c r="Q332" s="105">
        <v>15</v>
      </c>
      <c r="R332" s="105">
        <v>17</v>
      </c>
    </row>
    <row r="333" spans="1:18" ht="15.75">
      <c r="A333" s="33">
        <v>331</v>
      </c>
      <c r="B333" s="16" t="s">
        <v>453</v>
      </c>
      <c r="C333" s="34" t="s">
        <v>409</v>
      </c>
      <c r="D333" t="str">
        <f>"9521632"</f>
        <v>9521632</v>
      </c>
      <c r="E333" s="34" t="s">
        <v>467</v>
      </c>
      <c r="F333" s="2" t="s">
        <v>27</v>
      </c>
      <c r="G333" s="76" t="s">
        <v>228</v>
      </c>
      <c r="H333" s="12" t="s">
        <v>236</v>
      </c>
      <c r="I333" s="37">
        <v>1989</v>
      </c>
      <c r="J333" s="36" t="s">
        <v>39</v>
      </c>
      <c r="K333" s="34" t="s">
        <v>91</v>
      </c>
      <c r="L333" s="75"/>
      <c r="M333" s="101">
        <v>179</v>
      </c>
      <c r="N333" s="101">
        <v>175</v>
      </c>
      <c r="O333" s="101">
        <v>170</v>
      </c>
      <c r="P333" s="105">
        <v>155</v>
      </c>
      <c r="Q333" s="105">
        <v>134</v>
      </c>
      <c r="R333" s="105">
        <v>129</v>
      </c>
    </row>
    <row r="334" spans="1:18" ht="15.75">
      <c r="A334" s="33">
        <v>332</v>
      </c>
      <c r="B334" s="16" t="s">
        <v>453</v>
      </c>
      <c r="C334" s="34" t="s">
        <v>458</v>
      </c>
      <c r="D334" s="96"/>
      <c r="E334" s="34" t="s">
        <v>467</v>
      </c>
      <c r="F334" s="2" t="s">
        <v>27</v>
      </c>
      <c r="G334" s="76" t="s">
        <v>228</v>
      </c>
      <c r="H334" s="12" t="s">
        <v>477</v>
      </c>
      <c r="I334" s="91"/>
      <c r="J334" s="36" t="s">
        <v>40</v>
      </c>
      <c r="K334" s="34" t="s">
        <v>91</v>
      </c>
      <c r="L334" s="75"/>
      <c r="M334" s="101">
        <v>12</v>
      </c>
      <c r="N334" s="101">
        <v>14</v>
      </c>
      <c r="O334" s="101">
        <v>0</v>
      </c>
      <c r="P334" s="105"/>
      <c r="Q334" s="105"/>
      <c r="R334" s="105"/>
    </row>
    <row r="335" spans="1:18" ht="15.75">
      <c r="A335" s="33">
        <v>333</v>
      </c>
      <c r="B335" s="16" t="s">
        <v>453</v>
      </c>
      <c r="C335" s="34" t="s">
        <v>381</v>
      </c>
      <c r="D335" t="str">
        <f>"9200003"</f>
        <v>9200003</v>
      </c>
      <c r="E335" s="34" t="s">
        <v>467</v>
      </c>
      <c r="F335" s="2" t="s">
        <v>27</v>
      </c>
      <c r="G335" s="76" t="s">
        <v>224</v>
      </c>
      <c r="H335" s="12" t="s">
        <v>27</v>
      </c>
      <c r="I335" s="37">
        <v>1976</v>
      </c>
      <c r="J335" s="36" t="s">
        <v>40</v>
      </c>
      <c r="K335" s="34" t="s">
        <v>91</v>
      </c>
      <c r="L335" s="75"/>
      <c r="M335" s="101">
        <v>228</v>
      </c>
      <c r="N335" s="101">
        <v>227</v>
      </c>
      <c r="O335" s="101">
        <v>227</v>
      </c>
      <c r="P335" s="105">
        <v>220</v>
      </c>
      <c r="Q335" s="105">
        <v>227</v>
      </c>
      <c r="R335" s="105">
        <v>220</v>
      </c>
    </row>
    <row r="336" spans="1:18" ht="15.75">
      <c r="A336" s="33">
        <v>334</v>
      </c>
      <c r="B336" s="16" t="s">
        <v>453</v>
      </c>
      <c r="C336" s="34" t="s">
        <v>382</v>
      </c>
      <c r="D336" t="str">
        <f>"9200004"</f>
        <v>9200004</v>
      </c>
      <c r="E336" s="34" t="s">
        <v>467</v>
      </c>
      <c r="F336" s="2" t="s">
        <v>27</v>
      </c>
      <c r="G336" s="76" t="s">
        <v>224</v>
      </c>
      <c r="H336" s="12" t="s">
        <v>27</v>
      </c>
      <c r="I336" s="37">
        <v>1957</v>
      </c>
      <c r="J336" s="36" t="s">
        <v>39</v>
      </c>
      <c r="K336" s="34" t="s">
        <v>91</v>
      </c>
      <c r="L336" s="75"/>
      <c r="M336" s="101">
        <v>63</v>
      </c>
      <c r="N336" s="101">
        <v>89</v>
      </c>
      <c r="O336" s="101">
        <v>103</v>
      </c>
      <c r="P336" s="105">
        <v>119</v>
      </c>
      <c r="Q336" s="105">
        <v>125</v>
      </c>
      <c r="R336" s="105">
        <v>131</v>
      </c>
    </row>
    <row r="337" spans="1:18" ht="15.75">
      <c r="A337" s="33">
        <v>335</v>
      </c>
      <c r="B337" s="16" t="s">
        <v>453</v>
      </c>
      <c r="C337" s="34" t="s">
        <v>387</v>
      </c>
      <c r="D337" t="str">
        <f>"9200005"</f>
        <v>9200005</v>
      </c>
      <c r="E337" s="34" t="s">
        <v>467</v>
      </c>
      <c r="F337" s="2" t="s">
        <v>27</v>
      </c>
      <c r="G337" s="76" t="s">
        <v>224</v>
      </c>
      <c r="H337" s="12" t="s">
        <v>27</v>
      </c>
      <c r="I337" s="37">
        <v>1981</v>
      </c>
      <c r="J337" s="36" t="s">
        <v>39</v>
      </c>
      <c r="K337" s="34" t="s">
        <v>91</v>
      </c>
      <c r="L337" s="75"/>
      <c r="M337" s="101">
        <v>267</v>
      </c>
      <c r="N337" s="101">
        <v>265</v>
      </c>
      <c r="O337" s="101">
        <v>267</v>
      </c>
      <c r="P337" s="105">
        <v>233</v>
      </c>
      <c r="Q337" s="105">
        <v>242</v>
      </c>
      <c r="R337" s="105">
        <v>221</v>
      </c>
    </row>
    <row r="338" spans="1:18" ht="15.75">
      <c r="A338" s="33">
        <v>336</v>
      </c>
      <c r="B338" s="16" t="s">
        <v>453</v>
      </c>
      <c r="C338" s="34" t="s">
        <v>435</v>
      </c>
      <c r="D338" t="str">
        <f>"9200039"</f>
        <v>9200039</v>
      </c>
      <c r="E338" s="34" t="s">
        <v>467</v>
      </c>
      <c r="F338" s="2" t="s">
        <v>27</v>
      </c>
      <c r="G338" s="76" t="s">
        <v>224</v>
      </c>
      <c r="H338" s="12" t="s">
        <v>483</v>
      </c>
      <c r="I338" s="91"/>
      <c r="J338" s="36" t="s">
        <v>40</v>
      </c>
      <c r="K338" s="34" t="s">
        <v>91</v>
      </c>
      <c r="L338" s="75"/>
      <c r="M338" s="101">
        <v>26</v>
      </c>
      <c r="N338" s="101">
        <v>34</v>
      </c>
      <c r="O338" s="101">
        <v>34</v>
      </c>
      <c r="P338" s="105">
        <v>33</v>
      </c>
      <c r="Q338" s="105">
        <v>42</v>
      </c>
      <c r="R338" s="105">
        <v>44</v>
      </c>
    </row>
    <row r="339" spans="1:18" ht="15.75">
      <c r="A339" s="33">
        <v>337</v>
      </c>
      <c r="B339" s="16" t="s">
        <v>453</v>
      </c>
      <c r="C339" s="34" t="s">
        <v>416</v>
      </c>
      <c r="D339" t="str">
        <f>"9200042"</f>
        <v>9200042</v>
      </c>
      <c r="E339" s="34" t="s">
        <v>467</v>
      </c>
      <c r="F339" s="2" t="s">
        <v>27</v>
      </c>
      <c r="G339" s="76" t="s">
        <v>224</v>
      </c>
      <c r="H339" s="12" t="s">
        <v>496</v>
      </c>
      <c r="I339" s="37">
        <v>1963</v>
      </c>
      <c r="J339" s="36" t="s">
        <v>39</v>
      </c>
      <c r="K339" s="34" t="s">
        <v>91</v>
      </c>
      <c r="L339" s="75"/>
      <c r="M339" s="101">
        <v>6</v>
      </c>
      <c r="N339" s="101">
        <v>7</v>
      </c>
      <c r="O339" s="101">
        <v>6</v>
      </c>
      <c r="P339" s="105">
        <v>3</v>
      </c>
      <c r="Q339" s="105">
        <v>4</v>
      </c>
      <c r="R339" s="105"/>
    </row>
    <row r="340" spans="1:18" ht="15.75">
      <c r="A340" s="33">
        <v>338</v>
      </c>
      <c r="B340" s="16" t="s">
        <v>453</v>
      </c>
      <c r="C340" s="34" t="s">
        <v>436</v>
      </c>
      <c r="D340" t="str">
        <f>"9200047"</f>
        <v>9200047</v>
      </c>
      <c r="E340" s="34" t="s">
        <v>467</v>
      </c>
      <c r="F340" s="2" t="s">
        <v>27</v>
      </c>
      <c r="G340" s="76" t="s">
        <v>224</v>
      </c>
      <c r="H340" s="12" t="s">
        <v>238</v>
      </c>
      <c r="I340" s="37">
        <v>1989</v>
      </c>
      <c r="J340" s="36" t="s">
        <v>39</v>
      </c>
      <c r="K340" s="34" t="s">
        <v>91</v>
      </c>
      <c r="L340" s="75"/>
      <c r="M340" s="101">
        <v>91</v>
      </c>
      <c r="N340" s="101">
        <v>87</v>
      </c>
      <c r="O340" s="101">
        <v>74</v>
      </c>
      <c r="P340" s="105">
        <v>57</v>
      </c>
      <c r="Q340" s="105">
        <v>53</v>
      </c>
      <c r="R340" s="105">
        <v>42</v>
      </c>
    </row>
    <row r="341" spans="1:18" ht="15.75">
      <c r="A341" s="33">
        <v>339</v>
      </c>
      <c r="B341" s="16" t="s">
        <v>453</v>
      </c>
      <c r="C341" s="34" t="s">
        <v>447</v>
      </c>
      <c r="D341" t="str">
        <f>"9200065"</f>
        <v>9200065</v>
      </c>
      <c r="E341" s="34" t="s">
        <v>467</v>
      </c>
      <c r="F341" s="2" t="s">
        <v>27</v>
      </c>
      <c r="G341" s="76" t="s">
        <v>224</v>
      </c>
      <c r="H341" s="12" t="s">
        <v>332</v>
      </c>
      <c r="I341" s="37">
        <v>1991</v>
      </c>
      <c r="J341" s="36" t="s">
        <v>39</v>
      </c>
      <c r="K341" s="34" t="s">
        <v>91</v>
      </c>
      <c r="L341" s="75"/>
      <c r="M341" s="101">
        <v>148</v>
      </c>
      <c r="N341" s="101">
        <v>139</v>
      </c>
      <c r="O341" s="101">
        <v>133</v>
      </c>
      <c r="P341" s="105">
        <v>133</v>
      </c>
      <c r="Q341" s="105">
        <v>125</v>
      </c>
      <c r="R341" s="105">
        <v>122</v>
      </c>
    </row>
    <row r="342" spans="1:18" ht="15.75">
      <c r="A342" s="33">
        <v>340</v>
      </c>
      <c r="B342" s="16" t="s">
        <v>453</v>
      </c>
      <c r="C342" s="34" t="s">
        <v>418</v>
      </c>
      <c r="D342" s="116" t="str">
        <f>"9200075"</f>
        <v>9200075</v>
      </c>
      <c r="E342" s="34" t="s">
        <v>467</v>
      </c>
      <c r="F342" s="2" t="s">
        <v>27</v>
      </c>
      <c r="G342" s="76" t="s">
        <v>224</v>
      </c>
      <c r="H342" s="12" t="s">
        <v>498</v>
      </c>
      <c r="I342" s="37">
        <v>1982</v>
      </c>
      <c r="J342" s="36" t="s">
        <v>40</v>
      </c>
      <c r="K342" s="34" t="s">
        <v>91</v>
      </c>
      <c r="L342" s="75"/>
      <c r="M342" s="101">
        <v>77</v>
      </c>
      <c r="N342" s="101">
        <v>74</v>
      </c>
      <c r="O342" s="101">
        <v>73</v>
      </c>
      <c r="P342" s="105">
        <v>83</v>
      </c>
      <c r="Q342" s="105">
        <v>88</v>
      </c>
      <c r="R342" s="105">
        <v>80</v>
      </c>
    </row>
    <row r="343" spans="1:18" ht="15.75">
      <c r="A343" s="33">
        <v>341</v>
      </c>
      <c r="B343" s="16" t="s">
        <v>453</v>
      </c>
      <c r="C343" s="34" t="s">
        <v>424</v>
      </c>
      <c r="D343" t="str">
        <f>"9200091"</f>
        <v>9200091</v>
      </c>
      <c r="E343" s="34" t="s">
        <v>467</v>
      </c>
      <c r="F343" s="2" t="s">
        <v>27</v>
      </c>
      <c r="G343" s="76" t="s">
        <v>224</v>
      </c>
      <c r="H343" s="12" t="s">
        <v>475</v>
      </c>
      <c r="I343" s="37">
        <v>1951</v>
      </c>
      <c r="J343" s="36" t="s">
        <v>40</v>
      </c>
      <c r="K343" s="34" t="s">
        <v>91</v>
      </c>
      <c r="L343" s="75"/>
      <c r="M343" s="101">
        <v>43</v>
      </c>
      <c r="N343" s="101">
        <v>42</v>
      </c>
      <c r="O343" s="101">
        <v>39</v>
      </c>
      <c r="P343" s="105">
        <v>37</v>
      </c>
      <c r="Q343" s="105">
        <v>37</v>
      </c>
      <c r="R343" s="105">
        <v>39</v>
      </c>
    </row>
    <row r="344" spans="1:18" ht="15.75">
      <c r="A344" s="33">
        <v>342</v>
      </c>
      <c r="B344" s="16" t="s">
        <v>453</v>
      </c>
      <c r="C344" s="34" t="s">
        <v>405</v>
      </c>
      <c r="D344" t="str">
        <f>"9200112"</f>
        <v>9200112</v>
      </c>
      <c r="E344" s="34" t="s">
        <v>467</v>
      </c>
      <c r="F344" s="2" t="s">
        <v>27</v>
      </c>
      <c r="G344" s="76" t="s">
        <v>224</v>
      </c>
      <c r="H344" s="12" t="s">
        <v>222</v>
      </c>
      <c r="I344" s="37">
        <v>1979</v>
      </c>
      <c r="J344" s="36" t="s">
        <v>40</v>
      </c>
      <c r="K344" s="34" t="s">
        <v>91</v>
      </c>
      <c r="L344" s="75"/>
      <c r="M344" s="101">
        <v>139</v>
      </c>
      <c r="N344" s="101">
        <v>142</v>
      </c>
      <c r="O344" s="101">
        <v>138</v>
      </c>
      <c r="P344" s="105">
        <v>131</v>
      </c>
      <c r="Q344" s="105">
        <v>133</v>
      </c>
      <c r="R344" s="105">
        <v>125</v>
      </c>
    </row>
    <row r="345" spans="1:18" ht="15.75">
      <c r="A345" s="33">
        <v>343</v>
      </c>
      <c r="B345" s="16" t="s">
        <v>453</v>
      </c>
      <c r="C345" s="34" t="s">
        <v>434</v>
      </c>
      <c r="D345" t="str">
        <f>"9200135"</f>
        <v>9200135</v>
      </c>
      <c r="E345" s="34" t="s">
        <v>467</v>
      </c>
      <c r="F345" s="2" t="s">
        <v>27</v>
      </c>
      <c r="G345" s="76" t="s">
        <v>224</v>
      </c>
      <c r="H345" s="12" t="s">
        <v>237</v>
      </c>
      <c r="I345" s="37">
        <v>2008</v>
      </c>
      <c r="J345" s="36" t="s">
        <v>39</v>
      </c>
      <c r="K345" s="34" t="s">
        <v>91</v>
      </c>
      <c r="L345" s="75"/>
      <c r="M345" s="101">
        <v>145</v>
      </c>
      <c r="N345" s="101">
        <v>152</v>
      </c>
      <c r="O345" s="101">
        <v>157</v>
      </c>
      <c r="P345" s="105">
        <v>151</v>
      </c>
      <c r="Q345" s="105">
        <v>146</v>
      </c>
      <c r="R345" s="105">
        <v>135</v>
      </c>
    </row>
    <row r="346" spans="1:18" ht="15.75">
      <c r="A346" s="33">
        <v>344</v>
      </c>
      <c r="B346" s="16" t="s">
        <v>453</v>
      </c>
      <c r="C346" s="34" t="s">
        <v>442</v>
      </c>
      <c r="D346" t="str">
        <f>"9200152"</f>
        <v>9200152</v>
      </c>
      <c r="E346" s="34" t="s">
        <v>467</v>
      </c>
      <c r="F346" s="2" t="s">
        <v>27</v>
      </c>
      <c r="G346" s="76" t="s">
        <v>224</v>
      </c>
      <c r="H346" s="12" t="s">
        <v>493</v>
      </c>
      <c r="I346" s="37">
        <v>2005</v>
      </c>
      <c r="J346" s="36" t="s">
        <v>39</v>
      </c>
      <c r="K346" s="34" t="s">
        <v>91</v>
      </c>
      <c r="L346" s="75"/>
      <c r="M346" s="101">
        <v>122</v>
      </c>
      <c r="N346" s="101">
        <v>104</v>
      </c>
      <c r="O346" s="101">
        <v>106</v>
      </c>
      <c r="P346" s="105">
        <v>106</v>
      </c>
      <c r="Q346" s="105">
        <v>100</v>
      </c>
      <c r="R346" s="105">
        <v>99</v>
      </c>
    </row>
    <row r="347" spans="1:18" ht="15.75">
      <c r="A347" s="33">
        <v>345</v>
      </c>
      <c r="B347" s="16" t="s">
        <v>453</v>
      </c>
      <c r="C347" s="34" t="s">
        <v>394</v>
      </c>
      <c r="D347" t="str">
        <f>"9200194"</f>
        <v>9200194</v>
      </c>
      <c r="E347" s="34" t="s">
        <v>467</v>
      </c>
      <c r="F347" s="2" t="s">
        <v>27</v>
      </c>
      <c r="G347" s="76" t="s">
        <v>224</v>
      </c>
      <c r="H347" s="12" t="s">
        <v>27</v>
      </c>
      <c r="I347" s="37">
        <v>1979</v>
      </c>
      <c r="J347" s="36" t="s">
        <v>40</v>
      </c>
      <c r="K347" s="34" t="s">
        <v>91</v>
      </c>
      <c r="L347" s="75"/>
      <c r="M347" s="101">
        <v>292</v>
      </c>
      <c r="N347" s="101">
        <v>308</v>
      </c>
      <c r="O347" s="101">
        <v>279</v>
      </c>
      <c r="P347" s="105">
        <v>288</v>
      </c>
      <c r="Q347" s="105">
        <v>289</v>
      </c>
      <c r="R347" s="105">
        <v>282</v>
      </c>
    </row>
    <row r="348" spans="1:18" ht="15.75">
      <c r="A348" s="33">
        <v>346</v>
      </c>
      <c r="B348" s="16" t="s">
        <v>453</v>
      </c>
      <c r="C348" s="34" t="s">
        <v>388</v>
      </c>
      <c r="D348" t="str">
        <f>"9200195"</f>
        <v>9200195</v>
      </c>
      <c r="E348" s="34" t="s">
        <v>467</v>
      </c>
      <c r="F348" s="2" t="s">
        <v>27</v>
      </c>
      <c r="G348" s="76" t="s">
        <v>224</v>
      </c>
      <c r="H348" s="12" t="s">
        <v>27</v>
      </c>
      <c r="I348" s="37">
        <v>1973</v>
      </c>
      <c r="J348" s="36" t="s">
        <v>39</v>
      </c>
      <c r="K348" s="34" t="s">
        <v>91</v>
      </c>
      <c r="L348" s="16"/>
      <c r="M348" s="103">
        <v>78</v>
      </c>
      <c r="N348" s="103">
        <v>68</v>
      </c>
      <c r="O348" s="103">
        <v>61</v>
      </c>
      <c r="P348" s="106">
        <v>87</v>
      </c>
      <c r="Q348" s="106">
        <v>97</v>
      </c>
      <c r="R348" s="106">
        <v>111</v>
      </c>
    </row>
    <row r="349" spans="1:18" ht="15.75">
      <c r="A349" s="33">
        <v>347</v>
      </c>
      <c r="B349" s="16" t="s">
        <v>453</v>
      </c>
      <c r="C349" s="34" t="s">
        <v>413</v>
      </c>
      <c r="D349" s="116" t="str">
        <f>"9200250"</f>
        <v>9200250</v>
      </c>
      <c r="E349" s="34" t="s">
        <v>467</v>
      </c>
      <c r="F349" s="2" t="s">
        <v>27</v>
      </c>
      <c r="G349" s="76" t="s">
        <v>224</v>
      </c>
      <c r="H349" s="12" t="s">
        <v>469</v>
      </c>
      <c r="I349" s="37">
        <v>1964</v>
      </c>
      <c r="J349" s="36" t="s">
        <v>40</v>
      </c>
      <c r="K349" s="34" t="s">
        <v>91</v>
      </c>
      <c r="L349" s="75"/>
      <c r="M349" s="101">
        <v>73</v>
      </c>
      <c r="N349" s="101">
        <v>45</v>
      </c>
      <c r="O349" s="101">
        <v>49</v>
      </c>
      <c r="P349" s="105">
        <v>49</v>
      </c>
      <c r="Q349" s="105">
        <v>44</v>
      </c>
      <c r="R349" s="105">
        <v>43</v>
      </c>
    </row>
    <row r="350" spans="1:18" ht="15.75">
      <c r="A350" s="33">
        <v>348</v>
      </c>
      <c r="B350" s="16" t="s">
        <v>453</v>
      </c>
      <c r="C350" s="34" t="s">
        <v>430</v>
      </c>
      <c r="D350" t="str">
        <f>"9200257"</f>
        <v>9200257</v>
      </c>
      <c r="E350" s="34" t="s">
        <v>467</v>
      </c>
      <c r="F350" s="2" t="s">
        <v>27</v>
      </c>
      <c r="G350" s="76" t="s">
        <v>224</v>
      </c>
      <c r="H350" s="12" t="s">
        <v>240</v>
      </c>
      <c r="I350" s="37">
        <v>1987</v>
      </c>
      <c r="J350" s="36" t="s">
        <v>40</v>
      </c>
      <c r="K350" s="34" t="s">
        <v>91</v>
      </c>
      <c r="L350" s="75"/>
      <c r="M350" s="101">
        <v>263</v>
      </c>
      <c r="N350" s="101">
        <v>264</v>
      </c>
      <c r="O350" s="101">
        <v>256</v>
      </c>
      <c r="P350" s="105">
        <v>253</v>
      </c>
      <c r="Q350" s="105">
        <v>241</v>
      </c>
      <c r="R350" s="105">
        <v>217</v>
      </c>
    </row>
    <row r="351" spans="1:18" ht="15.75">
      <c r="A351" s="33">
        <v>349</v>
      </c>
      <c r="B351" s="16" t="s">
        <v>453</v>
      </c>
      <c r="C351" s="34" t="s">
        <v>446</v>
      </c>
      <c r="D351" t="str">
        <f>"9200263"</f>
        <v>9200263</v>
      </c>
      <c r="E351" s="34" t="s">
        <v>467</v>
      </c>
      <c r="F351" s="2" t="s">
        <v>27</v>
      </c>
      <c r="G351" s="76" t="s">
        <v>224</v>
      </c>
      <c r="H351" s="12" t="s">
        <v>239</v>
      </c>
      <c r="I351" s="37">
        <v>2005</v>
      </c>
      <c r="J351" s="36" t="s">
        <v>40</v>
      </c>
      <c r="K351" s="34" t="s">
        <v>91</v>
      </c>
      <c r="L351" s="75"/>
      <c r="M351" s="101">
        <v>330</v>
      </c>
      <c r="N351" s="101">
        <v>325</v>
      </c>
      <c r="O351" s="101">
        <v>294</v>
      </c>
      <c r="P351" s="105">
        <v>283</v>
      </c>
      <c r="Q351" s="105">
        <v>273</v>
      </c>
      <c r="R351" s="105">
        <v>261</v>
      </c>
    </row>
    <row r="352" spans="1:18" ht="15.75">
      <c r="A352" s="33">
        <v>350</v>
      </c>
      <c r="B352" s="16" t="s">
        <v>453</v>
      </c>
      <c r="C352" s="34" t="s">
        <v>451</v>
      </c>
      <c r="D352" t="str">
        <f>"9200279"</f>
        <v>9200279</v>
      </c>
      <c r="E352" s="34" t="s">
        <v>467</v>
      </c>
      <c r="F352" s="2" t="s">
        <v>27</v>
      </c>
      <c r="G352" s="76" t="s">
        <v>224</v>
      </c>
      <c r="H352" s="12" t="s">
        <v>244</v>
      </c>
      <c r="I352" s="37">
        <v>1952</v>
      </c>
      <c r="J352" s="36" t="s">
        <v>40</v>
      </c>
      <c r="K352" s="34" t="s">
        <v>91</v>
      </c>
      <c r="L352" s="75"/>
      <c r="M352" s="101">
        <v>182</v>
      </c>
      <c r="N352" s="101">
        <v>184</v>
      </c>
      <c r="O352" s="101">
        <v>189</v>
      </c>
      <c r="P352" s="105">
        <v>175</v>
      </c>
      <c r="Q352" s="105">
        <v>158</v>
      </c>
      <c r="R352" s="105">
        <v>154</v>
      </c>
    </row>
    <row r="353" spans="1:18" ht="15.75">
      <c r="A353" s="33">
        <v>351</v>
      </c>
      <c r="B353" s="16" t="s">
        <v>453</v>
      </c>
      <c r="C353" s="34" t="s">
        <v>403</v>
      </c>
      <c r="D353" t="str">
        <f>"9200405"</f>
        <v>9200405</v>
      </c>
      <c r="E353" s="34" t="s">
        <v>467</v>
      </c>
      <c r="F353" s="2" t="s">
        <v>27</v>
      </c>
      <c r="G353" s="76" t="s">
        <v>224</v>
      </c>
      <c r="H353" s="12" t="s">
        <v>27</v>
      </c>
      <c r="I353" s="37">
        <v>1937</v>
      </c>
      <c r="J353" s="36" t="s">
        <v>40</v>
      </c>
      <c r="K353" s="34" t="s">
        <v>91</v>
      </c>
      <c r="L353" s="75"/>
      <c r="M353" s="101">
        <v>14</v>
      </c>
      <c r="N353" s="101">
        <v>16</v>
      </c>
      <c r="O353" s="101">
        <v>15</v>
      </c>
      <c r="P353" s="105">
        <v>17</v>
      </c>
      <c r="Q353" s="105">
        <v>14</v>
      </c>
      <c r="R353" s="105">
        <v>14</v>
      </c>
    </row>
    <row r="354" spans="1:18" ht="15.75">
      <c r="A354" s="33">
        <v>352</v>
      </c>
      <c r="B354" s="16" t="s">
        <v>453</v>
      </c>
      <c r="C354" s="34" t="s">
        <v>404</v>
      </c>
      <c r="D354" t="str">
        <f>"9200406"</f>
        <v>9200406</v>
      </c>
      <c r="E354" s="34" t="s">
        <v>467</v>
      </c>
      <c r="F354" s="2" t="s">
        <v>27</v>
      </c>
      <c r="G354" s="76" t="s">
        <v>224</v>
      </c>
      <c r="H354" s="12" t="s">
        <v>27</v>
      </c>
      <c r="I354" s="37">
        <v>1937</v>
      </c>
      <c r="J354" s="36" t="s">
        <v>40</v>
      </c>
      <c r="K354" s="34" t="s">
        <v>91</v>
      </c>
      <c r="L354" s="75"/>
      <c r="M354" s="101">
        <v>23</v>
      </c>
      <c r="N354" s="101">
        <v>24</v>
      </c>
      <c r="O354" s="101">
        <v>26</v>
      </c>
      <c r="P354" s="105">
        <v>26</v>
      </c>
      <c r="Q354" s="105">
        <v>25</v>
      </c>
      <c r="R354" s="105">
        <v>25</v>
      </c>
    </row>
    <row r="355" spans="1:18" ht="15.75">
      <c r="A355" s="33">
        <v>353</v>
      </c>
      <c r="B355" s="16" t="s">
        <v>453</v>
      </c>
      <c r="C355" s="34" t="s">
        <v>402</v>
      </c>
      <c r="D355" t="str">
        <f>"9200428"</f>
        <v>9200428</v>
      </c>
      <c r="E355" s="34" t="s">
        <v>467</v>
      </c>
      <c r="F355" s="2" t="s">
        <v>27</v>
      </c>
      <c r="G355" s="76" t="s">
        <v>224</v>
      </c>
      <c r="H355" s="12" t="s">
        <v>27</v>
      </c>
      <c r="I355" s="37">
        <v>1937</v>
      </c>
      <c r="J355" s="36" t="s">
        <v>40</v>
      </c>
      <c r="K355" s="34" t="s">
        <v>91</v>
      </c>
      <c r="L355" s="75"/>
      <c r="M355" s="101">
        <v>177</v>
      </c>
      <c r="N355" s="101">
        <v>175</v>
      </c>
      <c r="O355" s="101">
        <v>176</v>
      </c>
      <c r="P355" s="105">
        <v>163</v>
      </c>
      <c r="Q355" s="105">
        <v>157</v>
      </c>
      <c r="R355" s="105">
        <v>136</v>
      </c>
    </row>
    <row r="356" spans="1:18" ht="15.75">
      <c r="A356" s="33">
        <v>354</v>
      </c>
      <c r="B356" s="16" t="s">
        <v>453</v>
      </c>
      <c r="C356" s="34" t="s">
        <v>384</v>
      </c>
      <c r="D356" t="str">
        <f>"9200429"</f>
        <v>9200429</v>
      </c>
      <c r="E356" s="34" t="s">
        <v>467</v>
      </c>
      <c r="F356" s="2" t="s">
        <v>27</v>
      </c>
      <c r="G356" s="76" t="s">
        <v>224</v>
      </c>
      <c r="H356" s="12" t="s">
        <v>27</v>
      </c>
      <c r="I356" s="37">
        <v>1980</v>
      </c>
      <c r="J356" s="36" t="s">
        <v>40</v>
      </c>
      <c r="K356" s="34" t="s">
        <v>91</v>
      </c>
      <c r="L356" s="75"/>
      <c r="M356" s="101">
        <v>261</v>
      </c>
      <c r="N356" s="101">
        <v>257</v>
      </c>
      <c r="O356" s="101">
        <v>244</v>
      </c>
      <c r="P356" s="105">
        <v>237</v>
      </c>
      <c r="Q356" s="105">
        <v>235</v>
      </c>
      <c r="R356" s="105">
        <v>217</v>
      </c>
    </row>
    <row r="357" spans="1:18" ht="15.75">
      <c r="A357" s="33">
        <v>355</v>
      </c>
      <c r="B357" s="16" t="s">
        <v>453</v>
      </c>
      <c r="C357" s="34" t="s">
        <v>396</v>
      </c>
      <c r="D357" t="str">
        <f>"9200430"</f>
        <v>9200430</v>
      </c>
      <c r="E357" s="34" t="s">
        <v>467</v>
      </c>
      <c r="F357" s="2" t="s">
        <v>27</v>
      </c>
      <c r="G357" s="76" t="s">
        <v>224</v>
      </c>
      <c r="H357" s="12" t="s">
        <v>27</v>
      </c>
      <c r="I357" s="37">
        <v>1972</v>
      </c>
      <c r="J357" s="36" t="s">
        <v>40</v>
      </c>
      <c r="K357" s="34" t="s">
        <v>91</v>
      </c>
      <c r="L357" s="75"/>
      <c r="M357" s="101">
        <v>116</v>
      </c>
      <c r="N357" s="101">
        <v>115</v>
      </c>
      <c r="O357" s="101">
        <v>112</v>
      </c>
      <c r="P357" s="105">
        <v>111</v>
      </c>
      <c r="Q357" s="105">
        <v>120</v>
      </c>
      <c r="R357" s="105">
        <v>122</v>
      </c>
    </row>
    <row r="358" spans="1:18" ht="15.75">
      <c r="A358" s="33">
        <v>356</v>
      </c>
      <c r="B358" s="16" t="s">
        <v>453</v>
      </c>
      <c r="C358" s="34" t="s">
        <v>400</v>
      </c>
      <c r="D358" t="str">
        <f>"9200436"</f>
        <v>9200436</v>
      </c>
      <c r="E358" s="34" t="s">
        <v>467</v>
      </c>
      <c r="F358" s="2" t="s">
        <v>27</v>
      </c>
      <c r="G358" s="76" t="s">
        <v>224</v>
      </c>
      <c r="H358" s="12" t="s">
        <v>27</v>
      </c>
      <c r="I358" s="37">
        <v>1963</v>
      </c>
      <c r="J358" s="36" t="s">
        <v>40</v>
      </c>
      <c r="K358" s="34" t="s">
        <v>91</v>
      </c>
      <c r="L358" s="75"/>
      <c r="M358" s="101">
        <v>34</v>
      </c>
      <c r="N358" s="101">
        <v>38</v>
      </c>
      <c r="O358" s="101">
        <v>34</v>
      </c>
      <c r="P358" s="105">
        <v>33</v>
      </c>
      <c r="Q358" s="105">
        <v>27</v>
      </c>
      <c r="R358" s="105">
        <v>21</v>
      </c>
    </row>
    <row r="359" spans="1:18" ht="15.75">
      <c r="A359" s="33">
        <v>357</v>
      </c>
      <c r="B359" s="16" t="s">
        <v>453</v>
      </c>
      <c r="C359" s="34" t="s">
        <v>414</v>
      </c>
      <c r="D359" t="str">
        <f>"9200439"</f>
        <v>9200439</v>
      </c>
      <c r="E359" s="34" t="s">
        <v>467</v>
      </c>
      <c r="F359" s="2" t="s">
        <v>27</v>
      </c>
      <c r="G359" s="76" t="s">
        <v>224</v>
      </c>
      <c r="H359" s="12" t="s">
        <v>469</v>
      </c>
      <c r="I359" s="37">
        <v>1986</v>
      </c>
      <c r="J359" s="36" t="s">
        <v>39</v>
      </c>
      <c r="K359" s="34" t="s">
        <v>91</v>
      </c>
      <c r="L359" s="75"/>
      <c r="M359" s="101">
        <v>76</v>
      </c>
      <c r="N359" s="101">
        <v>72</v>
      </c>
      <c r="O359" s="101">
        <v>72</v>
      </c>
      <c r="P359" s="105">
        <v>76</v>
      </c>
      <c r="Q359" s="105">
        <v>66</v>
      </c>
      <c r="R359" s="105">
        <v>67</v>
      </c>
    </row>
    <row r="360" spans="1:18" ht="15.75">
      <c r="A360" s="33">
        <v>358</v>
      </c>
      <c r="B360" s="16" t="s">
        <v>453</v>
      </c>
      <c r="C360" s="34" t="s">
        <v>386</v>
      </c>
      <c r="D360" t="str">
        <f>"9200464"</f>
        <v>9200464</v>
      </c>
      <c r="E360" s="34" t="s">
        <v>467</v>
      </c>
      <c r="F360" s="2" t="s">
        <v>27</v>
      </c>
      <c r="G360" s="76" t="s">
        <v>224</v>
      </c>
      <c r="H360" s="12" t="s">
        <v>27</v>
      </c>
      <c r="I360" s="37">
        <v>1937</v>
      </c>
      <c r="J360" s="36" t="s">
        <v>40</v>
      </c>
      <c r="K360" s="34" t="s">
        <v>91</v>
      </c>
      <c r="L360" s="75"/>
      <c r="M360" s="101">
        <v>185</v>
      </c>
      <c r="N360" s="101">
        <v>181</v>
      </c>
      <c r="O360" s="101">
        <v>176</v>
      </c>
      <c r="P360" s="105">
        <v>181</v>
      </c>
      <c r="Q360" s="105">
        <v>189</v>
      </c>
      <c r="R360" s="105">
        <v>190</v>
      </c>
    </row>
    <row r="361" spans="1:18" ht="15.75">
      <c r="A361" s="33">
        <v>359</v>
      </c>
      <c r="B361" s="16" t="s">
        <v>453</v>
      </c>
      <c r="C361" s="34" t="s">
        <v>390</v>
      </c>
      <c r="D361" t="str">
        <f>"9200465"</f>
        <v>9200465</v>
      </c>
      <c r="E361" s="34" t="s">
        <v>467</v>
      </c>
      <c r="F361" s="2" t="s">
        <v>27</v>
      </c>
      <c r="G361" s="76" t="s">
        <v>224</v>
      </c>
      <c r="H361" s="12" t="s">
        <v>27</v>
      </c>
      <c r="I361" s="37">
        <v>1937</v>
      </c>
      <c r="J361" s="36" t="s">
        <v>40</v>
      </c>
      <c r="K361" s="34" t="s">
        <v>91</v>
      </c>
      <c r="L361" s="75"/>
      <c r="M361" s="101">
        <v>196</v>
      </c>
      <c r="N361" s="101">
        <v>193</v>
      </c>
      <c r="O361" s="101">
        <v>199</v>
      </c>
      <c r="P361" s="105">
        <v>178</v>
      </c>
      <c r="Q361" s="105">
        <v>183</v>
      </c>
      <c r="R361" s="105">
        <v>161</v>
      </c>
    </row>
    <row r="362" spans="1:18" ht="15.75">
      <c r="A362" s="33">
        <v>360</v>
      </c>
      <c r="B362" s="16" t="s">
        <v>453</v>
      </c>
      <c r="C362" s="34" t="s">
        <v>391</v>
      </c>
      <c r="D362" t="str">
        <f>"9200472"</f>
        <v>9200472</v>
      </c>
      <c r="E362" s="34" t="s">
        <v>467</v>
      </c>
      <c r="F362" s="2" t="s">
        <v>27</v>
      </c>
      <c r="G362" s="76" t="s">
        <v>224</v>
      </c>
      <c r="H362" s="12" t="s">
        <v>27</v>
      </c>
      <c r="I362" s="37">
        <v>1985</v>
      </c>
      <c r="J362" s="36" t="s">
        <v>39</v>
      </c>
      <c r="K362" s="34" t="s">
        <v>91</v>
      </c>
      <c r="L362" s="75"/>
      <c r="M362" s="101">
        <v>123</v>
      </c>
      <c r="N362" s="101">
        <v>120</v>
      </c>
      <c r="O362" s="101">
        <v>124</v>
      </c>
      <c r="P362" s="105">
        <v>118</v>
      </c>
      <c r="Q362" s="105">
        <v>122</v>
      </c>
      <c r="R362" s="105">
        <v>123</v>
      </c>
    </row>
    <row r="363" spans="1:18" ht="15.75">
      <c r="A363" s="33">
        <v>361</v>
      </c>
      <c r="B363" s="16" t="s">
        <v>453</v>
      </c>
      <c r="C363" s="34" t="s">
        <v>380</v>
      </c>
      <c r="D363" t="str">
        <f>"9200501"</f>
        <v>9200501</v>
      </c>
      <c r="E363" s="34" t="s">
        <v>467</v>
      </c>
      <c r="F363" s="2" t="s">
        <v>27</v>
      </c>
      <c r="G363" s="76" t="s">
        <v>224</v>
      </c>
      <c r="H363" s="12" t="s">
        <v>27</v>
      </c>
      <c r="I363" s="37">
        <v>1925</v>
      </c>
      <c r="J363" s="36" t="s">
        <v>40</v>
      </c>
      <c r="K363" s="34" t="s">
        <v>91</v>
      </c>
      <c r="L363" s="75"/>
      <c r="M363" s="101">
        <v>179</v>
      </c>
      <c r="N363" s="101">
        <v>175</v>
      </c>
      <c r="O363" s="101">
        <v>168</v>
      </c>
      <c r="P363" s="105">
        <v>135</v>
      </c>
      <c r="Q363" s="105">
        <v>129</v>
      </c>
      <c r="R363" s="105">
        <v>126</v>
      </c>
    </row>
    <row r="364" spans="1:18" ht="15.75">
      <c r="A364" s="33">
        <v>362</v>
      </c>
      <c r="B364" s="16" t="s">
        <v>453</v>
      </c>
      <c r="C364" s="34" t="s">
        <v>383</v>
      </c>
      <c r="D364" t="str">
        <f>"9200503"</f>
        <v>9200503</v>
      </c>
      <c r="E364" s="34" t="s">
        <v>467</v>
      </c>
      <c r="F364" s="2" t="s">
        <v>27</v>
      </c>
      <c r="G364" s="76" t="s">
        <v>224</v>
      </c>
      <c r="H364" s="12" t="s">
        <v>27</v>
      </c>
      <c r="I364" s="91"/>
      <c r="J364" s="36" t="s">
        <v>40</v>
      </c>
      <c r="K364" s="34" t="s">
        <v>139</v>
      </c>
      <c r="L364" s="75"/>
      <c r="M364" s="101">
        <v>15</v>
      </c>
      <c r="N364" s="101">
        <v>15</v>
      </c>
      <c r="O364" s="101">
        <v>16</v>
      </c>
      <c r="P364" s="105">
        <v>19</v>
      </c>
      <c r="Q364" s="105">
        <v>22</v>
      </c>
      <c r="R364" s="105">
        <v>19</v>
      </c>
    </row>
    <row r="365" spans="1:18" ht="15.75">
      <c r="A365" s="33">
        <v>363</v>
      </c>
      <c r="B365" s="16" t="s">
        <v>453</v>
      </c>
      <c r="C365" s="34" t="s">
        <v>385</v>
      </c>
      <c r="D365" t="str">
        <f>"9200506"</f>
        <v>9200506</v>
      </c>
      <c r="E365" s="34" t="s">
        <v>467</v>
      </c>
      <c r="F365" s="2" t="s">
        <v>27</v>
      </c>
      <c r="G365" s="76" t="s">
        <v>224</v>
      </c>
      <c r="H365" s="12" t="s">
        <v>27</v>
      </c>
      <c r="I365" s="37">
        <v>1982</v>
      </c>
      <c r="J365" s="36" t="s">
        <v>40</v>
      </c>
      <c r="K365" s="34" t="s">
        <v>91</v>
      </c>
      <c r="L365" s="75"/>
      <c r="M365" s="101">
        <v>189</v>
      </c>
      <c r="N365" s="101">
        <v>193</v>
      </c>
      <c r="O365" s="101">
        <v>201</v>
      </c>
      <c r="P365" s="105">
        <v>201</v>
      </c>
      <c r="Q365" s="105">
        <v>213</v>
      </c>
      <c r="R365" s="105">
        <v>208</v>
      </c>
    </row>
    <row r="366" spans="1:18" ht="15.75">
      <c r="A366" s="33">
        <v>364</v>
      </c>
      <c r="B366" s="16" t="s">
        <v>453</v>
      </c>
      <c r="C366" s="34" t="s">
        <v>389</v>
      </c>
      <c r="D366" t="str">
        <f>"9200507"</f>
        <v>9200507</v>
      </c>
      <c r="E366" s="34" t="s">
        <v>467</v>
      </c>
      <c r="F366" s="2" t="s">
        <v>27</v>
      </c>
      <c r="G366" s="76" t="s">
        <v>224</v>
      </c>
      <c r="H366" s="12" t="s">
        <v>27</v>
      </c>
      <c r="I366" s="37">
        <v>1957</v>
      </c>
      <c r="J366" s="36" t="s">
        <v>40</v>
      </c>
      <c r="K366" s="34" t="s">
        <v>91</v>
      </c>
      <c r="L366" s="75"/>
      <c r="M366" s="101">
        <v>362</v>
      </c>
      <c r="N366" s="101">
        <v>366</v>
      </c>
      <c r="O366" s="101">
        <v>363</v>
      </c>
      <c r="P366" s="105">
        <v>328</v>
      </c>
      <c r="Q366" s="105">
        <v>321</v>
      </c>
      <c r="R366" s="105">
        <v>329</v>
      </c>
    </row>
    <row r="367" spans="1:18" ht="15.75">
      <c r="A367" s="33">
        <v>365</v>
      </c>
      <c r="B367" s="16" t="s">
        <v>453</v>
      </c>
      <c r="C367" s="34" t="s">
        <v>398</v>
      </c>
      <c r="D367" t="str">
        <f>"9200530"</f>
        <v>9200530</v>
      </c>
      <c r="E367" s="34" t="s">
        <v>467</v>
      </c>
      <c r="F367" s="2" t="s">
        <v>27</v>
      </c>
      <c r="G367" s="76" t="s">
        <v>224</v>
      </c>
      <c r="H367" s="12" t="s">
        <v>27</v>
      </c>
      <c r="I367" s="37">
        <v>1989</v>
      </c>
      <c r="J367" s="36" t="s">
        <v>40</v>
      </c>
      <c r="K367" s="34" t="s">
        <v>91</v>
      </c>
      <c r="L367" s="75"/>
      <c r="M367" s="104"/>
      <c r="N367" s="104"/>
      <c r="O367" s="104"/>
      <c r="P367" s="105"/>
      <c r="Q367" s="105"/>
      <c r="R367" s="105"/>
    </row>
    <row r="368" spans="1:18" ht="15.75">
      <c r="A368" s="33">
        <v>366</v>
      </c>
      <c r="B368" s="16" t="s">
        <v>453</v>
      </c>
      <c r="C368" s="34" t="s">
        <v>401</v>
      </c>
      <c r="D368" s="76" t="str">
        <f>"9200542"</f>
        <v>9200542</v>
      </c>
      <c r="E368" s="34" t="s">
        <v>467</v>
      </c>
      <c r="F368" s="2" t="s">
        <v>27</v>
      </c>
      <c r="G368" s="76" t="s">
        <v>224</v>
      </c>
      <c r="H368" s="12" t="s">
        <v>27</v>
      </c>
      <c r="I368" s="91"/>
      <c r="J368" s="36" t="s">
        <v>39</v>
      </c>
      <c r="K368" s="34" t="s">
        <v>91</v>
      </c>
      <c r="L368" s="75"/>
      <c r="M368" s="101">
        <v>72</v>
      </c>
      <c r="N368" s="101">
        <v>66</v>
      </c>
      <c r="O368" s="101">
        <v>54</v>
      </c>
      <c r="P368" s="105">
        <v>50</v>
      </c>
      <c r="Q368" s="105">
        <v>49</v>
      </c>
      <c r="R368" s="105">
        <v>42</v>
      </c>
    </row>
    <row r="369" spans="1:18" ht="15.75">
      <c r="A369" s="33">
        <v>367</v>
      </c>
      <c r="B369" s="16" t="s">
        <v>453</v>
      </c>
      <c r="C369" s="34" t="s">
        <v>393</v>
      </c>
      <c r="D369" t="str">
        <f>"9200543"</f>
        <v>9200543</v>
      </c>
      <c r="E369" s="34" t="s">
        <v>467</v>
      </c>
      <c r="F369" s="2" t="s">
        <v>27</v>
      </c>
      <c r="G369" s="76" t="s">
        <v>224</v>
      </c>
      <c r="H369" s="12" t="s">
        <v>27</v>
      </c>
      <c r="I369" s="37">
        <v>1970</v>
      </c>
      <c r="J369" s="36" t="s">
        <v>40</v>
      </c>
      <c r="K369" s="34" t="s">
        <v>91</v>
      </c>
      <c r="L369" s="75"/>
      <c r="M369" s="101">
        <v>200</v>
      </c>
      <c r="N369" s="101">
        <v>192</v>
      </c>
      <c r="O369" s="101">
        <v>184</v>
      </c>
      <c r="P369" s="105">
        <v>158</v>
      </c>
      <c r="Q369" s="105">
        <v>149</v>
      </c>
      <c r="R369" s="105">
        <v>146</v>
      </c>
    </row>
    <row r="370" spans="1:18" ht="15.75">
      <c r="A370" s="33">
        <v>368</v>
      </c>
      <c r="B370" s="16" t="s">
        <v>453</v>
      </c>
      <c r="C370" s="34" t="s">
        <v>406</v>
      </c>
      <c r="D370" t="str">
        <f>"9200546"</f>
        <v>9200546</v>
      </c>
      <c r="E370" s="34" t="s">
        <v>467</v>
      </c>
      <c r="F370" s="2" t="s">
        <v>27</v>
      </c>
      <c r="G370" s="76" t="s">
        <v>224</v>
      </c>
      <c r="H370" s="12" t="s">
        <v>222</v>
      </c>
      <c r="I370" s="37">
        <v>1994</v>
      </c>
      <c r="J370" s="36" t="s">
        <v>40</v>
      </c>
      <c r="K370" s="34" t="s">
        <v>91</v>
      </c>
      <c r="L370" s="75"/>
      <c r="M370" s="101">
        <v>321</v>
      </c>
      <c r="N370" s="101">
        <v>301</v>
      </c>
      <c r="O370" s="101">
        <v>256</v>
      </c>
      <c r="P370" s="105">
        <v>243</v>
      </c>
      <c r="Q370" s="105">
        <v>250</v>
      </c>
      <c r="R370" s="105">
        <v>256</v>
      </c>
    </row>
    <row r="371" spans="1:18" ht="15.75">
      <c r="A371" s="33">
        <v>369</v>
      </c>
      <c r="B371" s="16" t="s">
        <v>453</v>
      </c>
      <c r="C371" s="34" t="s">
        <v>455</v>
      </c>
      <c r="D371" t="str">
        <f>"9200551"</f>
        <v>9200551</v>
      </c>
      <c r="E371" s="34" t="s">
        <v>467</v>
      </c>
      <c r="F371" s="2" t="s">
        <v>27</v>
      </c>
      <c r="G371" s="76" t="s">
        <v>224</v>
      </c>
      <c r="H371" s="12" t="s">
        <v>222</v>
      </c>
      <c r="I371" s="37">
        <v>1998</v>
      </c>
      <c r="J371" s="36" t="s">
        <v>39</v>
      </c>
      <c r="K371" s="34" t="s">
        <v>91</v>
      </c>
      <c r="L371" s="75"/>
      <c r="M371" s="101">
        <v>150</v>
      </c>
      <c r="N371" s="101">
        <v>148</v>
      </c>
      <c r="O371" s="101">
        <v>145</v>
      </c>
      <c r="P371" s="105">
        <v>142</v>
      </c>
      <c r="Q371" s="105">
        <v>141</v>
      </c>
      <c r="R371" s="105">
        <v>143</v>
      </c>
    </row>
    <row r="372" spans="1:18" ht="15.75">
      <c r="A372" s="33">
        <v>370</v>
      </c>
      <c r="B372" s="16" t="s">
        <v>453</v>
      </c>
      <c r="C372" s="34" t="s">
        <v>464</v>
      </c>
      <c r="D372" t="str">
        <f>"9200567"</f>
        <v>9200567</v>
      </c>
      <c r="E372" s="34" t="s">
        <v>467</v>
      </c>
      <c r="F372" s="2" t="s">
        <v>27</v>
      </c>
      <c r="G372" s="76" t="s">
        <v>224</v>
      </c>
      <c r="H372" s="12" t="s">
        <v>27</v>
      </c>
      <c r="I372" s="37">
        <v>2007</v>
      </c>
      <c r="J372" s="36" t="s">
        <v>39</v>
      </c>
      <c r="K372" s="34" t="s">
        <v>91</v>
      </c>
      <c r="L372" s="75"/>
      <c r="M372" s="101">
        <v>9</v>
      </c>
      <c r="N372" s="101">
        <v>11</v>
      </c>
      <c r="O372" s="101">
        <v>15</v>
      </c>
      <c r="P372" s="105">
        <v>12</v>
      </c>
      <c r="Q372" s="105">
        <v>15</v>
      </c>
      <c r="R372" s="105">
        <v>19</v>
      </c>
    </row>
    <row r="373" spans="1:18" ht="15.75">
      <c r="A373" s="33">
        <v>371</v>
      </c>
      <c r="B373" s="16" t="s">
        <v>453</v>
      </c>
      <c r="C373" s="34" t="s">
        <v>397</v>
      </c>
      <c r="D373" t="str">
        <f>"9200574"</f>
        <v>9200574</v>
      </c>
      <c r="E373" s="34" t="s">
        <v>467</v>
      </c>
      <c r="F373" s="2" t="s">
        <v>27</v>
      </c>
      <c r="G373" s="76" t="s">
        <v>224</v>
      </c>
      <c r="H373" s="12" t="s">
        <v>27</v>
      </c>
      <c r="I373" s="37">
        <v>1986</v>
      </c>
      <c r="J373" s="36" t="s">
        <v>39</v>
      </c>
      <c r="K373" s="34" t="s">
        <v>91</v>
      </c>
      <c r="L373" s="75"/>
      <c r="M373" s="101">
        <v>257</v>
      </c>
      <c r="N373" s="101">
        <v>247</v>
      </c>
      <c r="O373" s="101">
        <v>249</v>
      </c>
      <c r="P373" s="105">
        <v>243</v>
      </c>
      <c r="Q373" s="105">
        <v>229</v>
      </c>
      <c r="R373" s="105">
        <v>230</v>
      </c>
    </row>
    <row r="374" spans="1:18" ht="15.75">
      <c r="A374" s="33">
        <v>372</v>
      </c>
      <c r="B374" s="16" t="s">
        <v>453</v>
      </c>
      <c r="C374" s="34" t="s">
        <v>392</v>
      </c>
      <c r="D374" t="str">
        <f>"9200578"</f>
        <v>9200578</v>
      </c>
      <c r="E374" s="34" t="s">
        <v>467</v>
      </c>
      <c r="F374" s="2" t="s">
        <v>27</v>
      </c>
      <c r="G374" s="76" t="s">
        <v>224</v>
      </c>
      <c r="H374" s="12" t="s">
        <v>27</v>
      </c>
      <c r="I374" s="37">
        <v>1930</v>
      </c>
      <c r="J374" s="36" t="s">
        <v>40</v>
      </c>
      <c r="K374" s="34" t="s">
        <v>91</v>
      </c>
      <c r="L374" s="75"/>
      <c r="M374" s="101">
        <v>277</v>
      </c>
      <c r="N374" s="101">
        <v>292</v>
      </c>
      <c r="O374" s="101">
        <v>293</v>
      </c>
      <c r="P374" s="105">
        <v>287</v>
      </c>
      <c r="Q374" s="105">
        <v>283</v>
      </c>
      <c r="R374" s="105">
        <v>260</v>
      </c>
    </row>
    <row r="375" spans="1:18" ht="15.75">
      <c r="A375" s="33">
        <v>373</v>
      </c>
      <c r="B375" s="16" t="s">
        <v>453</v>
      </c>
      <c r="C375" s="34" t="s">
        <v>395</v>
      </c>
      <c r="D375" t="str">
        <f>"9200584"</f>
        <v>9200584</v>
      </c>
      <c r="E375" s="34" t="s">
        <v>467</v>
      </c>
      <c r="F375" s="2" t="s">
        <v>27</v>
      </c>
      <c r="G375" s="76" t="s">
        <v>224</v>
      </c>
      <c r="H375" s="12" t="s">
        <v>27</v>
      </c>
      <c r="I375" s="37">
        <v>1987</v>
      </c>
      <c r="J375" s="36" t="s">
        <v>39</v>
      </c>
      <c r="K375" s="34" t="s">
        <v>91</v>
      </c>
      <c r="L375" s="75"/>
      <c r="M375" s="101">
        <v>149</v>
      </c>
      <c r="N375" s="101">
        <v>146</v>
      </c>
      <c r="O375" s="101">
        <v>144</v>
      </c>
      <c r="P375" s="105">
        <v>144</v>
      </c>
      <c r="Q375" s="105">
        <v>144</v>
      </c>
      <c r="R375" s="105">
        <v>143</v>
      </c>
    </row>
    <row r="376" spans="1:18" ht="15.75">
      <c r="A376" s="33">
        <v>374</v>
      </c>
      <c r="B376" s="16" t="s">
        <v>453</v>
      </c>
      <c r="C376" s="34" t="s">
        <v>399</v>
      </c>
      <c r="D376" t="str">
        <f>"9521115"</f>
        <v>9521115</v>
      </c>
      <c r="E376" s="34" t="s">
        <v>467</v>
      </c>
      <c r="F376" s="2" t="s">
        <v>27</v>
      </c>
      <c r="G376" s="76" t="s">
        <v>224</v>
      </c>
      <c r="H376" s="12" t="s">
        <v>27</v>
      </c>
      <c r="I376" s="37">
        <v>2004</v>
      </c>
      <c r="J376" s="36" t="s">
        <v>39</v>
      </c>
      <c r="K376" s="34" t="s">
        <v>91</v>
      </c>
      <c r="L376" s="75"/>
      <c r="M376" s="101">
        <v>95</v>
      </c>
      <c r="N376" s="101">
        <v>96</v>
      </c>
      <c r="O376" s="101">
        <v>95</v>
      </c>
      <c r="P376" s="105">
        <v>108</v>
      </c>
      <c r="Q376" s="105">
        <v>84</v>
      </c>
      <c r="R376" s="105">
        <v>78</v>
      </c>
    </row>
    <row r="377" spans="1:18" ht="15.75">
      <c r="A377" s="33">
        <v>375</v>
      </c>
      <c r="B377" s="16" t="s">
        <v>453</v>
      </c>
      <c r="C377" s="34" t="s">
        <v>407</v>
      </c>
      <c r="D377" t="str">
        <f>"9521730"</f>
        <v>9521730</v>
      </c>
      <c r="E377" s="34" t="s">
        <v>467</v>
      </c>
      <c r="F377" s="2" t="s">
        <v>27</v>
      </c>
      <c r="G377" s="76" t="s">
        <v>224</v>
      </c>
      <c r="H377" s="12" t="s">
        <v>222</v>
      </c>
      <c r="I377" s="37">
        <v>1970</v>
      </c>
      <c r="J377" s="36" t="s">
        <v>40</v>
      </c>
      <c r="K377" s="34" t="s">
        <v>91</v>
      </c>
      <c r="L377" s="75"/>
      <c r="M377" s="101">
        <v>329</v>
      </c>
      <c r="N377" s="101">
        <v>324</v>
      </c>
      <c r="O377" s="101">
        <v>322</v>
      </c>
      <c r="P377" s="105">
        <v>302</v>
      </c>
      <c r="Q377" s="105">
        <v>307</v>
      </c>
      <c r="R377" s="105">
        <v>305</v>
      </c>
    </row>
    <row r="378" spans="1:18" ht="15.75">
      <c r="A378" s="33">
        <v>376</v>
      </c>
      <c r="B378" s="16" t="s">
        <v>453</v>
      </c>
      <c r="C378" s="34" t="s">
        <v>456</v>
      </c>
      <c r="D378" s="96"/>
      <c r="E378" s="34" t="s">
        <v>467</v>
      </c>
      <c r="F378" s="2" t="s">
        <v>27</v>
      </c>
      <c r="G378" s="76" t="s">
        <v>224</v>
      </c>
      <c r="H378" s="12" t="s">
        <v>499</v>
      </c>
      <c r="I378" s="37">
        <v>1953</v>
      </c>
      <c r="J378" s="36" t="s">
        <v>40</v>
      </c>
      <c r="K378" s="34" t="s">
        <v>91</v>
      </c>
      <c r="L378" s="75"/>
      <c r="M378" s="101">
        <v>24</v>
      </c>
      <c r="N378" s="101">
        <v>24</v>
      </c>
      <c r="O378" s="101">
        <v>25</v>
      </c>
      <c r="P378" s="105">
        <v>22</v>
      </c>
      <c r="Q378" s="105">
        <v>20</v>
      </c>
      <c r="R378" s="105">
        <v>16</v>
      </c>
    </row>
    <row r="379" spans="1:18" ht="15.75">
      <c r="A379" s="33">
        <v>377</v>
      </c>
      <c r="B379" s="16" t="s">
        <v>453</v>
      </c>
      <c r="C379" s="34" t="s">
        <v>454</v>
      </c>
      <c r="D379"/>
      <c r="E379" s="34" t="s">
        <v>467</v>
      </c>
      <c r="F379" s="2" t="s">
        <v>27</v>
      </c>
      <c r="G379" s="76" t="s">
        <v>224</v>
      </c>
      <c r="H379" s="12" t="s">
        <v>27</v>
      </c>
      <c r="I379" s="37">
        <v>1983</v>
      </c>
      <c r="J379" s="36" t="s">
        <v>40</v>
      </c>
      <c r="K379" s="34" t="s">
        <v>91</v>
      </c>
      <c r="L379" s="75"/>
      <c r="M379" s="101">
        <v>218</v>
      </c>
      <c r="N379" s="101">
        <v>210</v>
      </c>
      <c r="O379" s="101">
        <v>206</v>
      </c>
      <c r="P379" s="105">
        <v>214</v>
      </c>
      <c r="Q379" s="105">
        <v>206</v>
      </c>
      <c r="R379" s="105">
        <v>196</v>
      </c>
    </row>
    <row r="380" spans="1:18" ht="15.75">
      <c r="A380" s="33">
        <v>378</v>
      </c>
      <c r="B380" s="16" t="s">
        <v>453</v>
      </c>
      <c r="C380" s="34" t="s">
        <v>460</v>
      </c>
      <c r="D380" s="96"/>
      <c r="E380" s="34" t="s">
        <v>467</v>
      </c>
      <c r="F380" s="2" t="s">
        <v>27</v>
      </c>
      <c r="G380" s="76" t="s">
        <v>224</v>
      </c>
      <c r="H380" s="12" t="s">
        <v>482</v>
      </c>
      <c r="I380" s="37">
        <v>1987</v>
      </c>
      <c r="J380" s="36" t="s">
        <v>40</v>
      </c>
      <c r="K380" s="34" t="s">
        <v>91</v>
      </c>
      <c r="L380" s="75"/>
      <c r="M380" s="101">
        <v>4</v>
      </c>
      <c r="N380" s="101">
        <v>4</v>
      </c>
      <c r="O380" s="104"/>
      <c r="P380" s="105"/>
      <c r="Q380" s="105"/>
      <c r="R380" s="105"/>
    </row>
    <row r="381" spans="1:18" ht="15.75">
      <c r="A381" s="33">
        <v>379</v>
      </c>
      <c r="B381" s="16" t="s">
        <v>453</v>
      </c>
      <c r="C381" s="34" t="s">
        <v>423</v>
      </c>
      <c r="D381" t="str">
        <f>"9200020"</f>
        <v>9200020</v>
      </c>
      <c r="E381" s="34" t="s">
        <v>467</v>
      </c>
      <c r="F381" s="2" t="s">
        <v>27</v>
      </c>
      <c r="G381" s="76" t="s">
        <v>229</v>
      </c>
      <c r="H381" s="12" t="s">
        <v>342</v>
      </c>
      <c r="I381" s="37">
        <v>1954</v>
      </c>
      <c r="J381" s="36" t="s">
        <v>40</v>
      </c>
      <c r="K381" s="34" t="s">
        <v>91</v>
      </c>
      <c r="L381" s="75"/>
      <c r="M381" s="101">
        <v>8</v>
      </c>
      <c r="N381" s="101">
        <v>6</v>
      </c>
      <c r="O381" s="101">
        <v>6</v>
      </c>
      <c r="P381" s="105">
        <v>4</v>
      </c>
      <c r="Q381" s="105">
        <v>2</v>
      </c>
      <c r="R381" s="105">
        <v>1</v>
      </c>
    </row>
    <row r="382" spans="1:18" ht="15.75">
      <c r="A382" s="33">
        <v>380</v>
      </c>
      <c r="B382" s="16" t="s">
        <v>453</v>
      </c>
      <c r="C382" s="34" t="s">
        <v>410</v>
      </c>
      <c r="D382" t="str">
        <f>"9200295"</f>
        <v>9200295</v>
      </c>
      <c r="E382" s="34" t="s">
        <v>467</v>
      </c>
      <c r="F382" s="2" t="s">
        <v>27</v>
      </c>
      <c r="G382" s="76" t="s">
        <v>229</v>
      </c>
      <c r="H382" s="12" t="s">
        <v>229</v>
      </c>
      <c r="I382" s="37">
        <v>1845</v>
      </c>
      <c r="J382" s="36" t="s">
        <v>40</v>
      </c>
      <c r="K382" s="34" t="s">
        <v>91</v>
      </c>
      <c r="L382" s="75"/>
      <c r="M382" s="101">
        <v>249</v>
      </c>
      <c r="N382" s="101">
        <v>234</v>
      </c>
      <c r="O382" s="101">
        <v>216</v>
      </c>
      <c r="P382" s="105">
        <v>184</v>
      </c>
      <c r="Q382" s="105">
        <v>180</v>
      </c>
      <c r="R382" s="105">
        <v>178</v>
      </c>
    </row>
    <row r="383" spans="1:18" ht="15.75">
      <c r="A383" s="33">
        <v>381</v>
      </c>
      <c r="B383" s="16" t="s">
        <v>453</v>
      </c>
      <c r="C383" s="34" t="s">
        <v>411</v>
      </c>
      <c r="D383" t="str">
        <f>"9200296"</f>
        <v>9200296</v>
      </c>
      <c r="E383" s="34" t="s">
        <v>467</v>
      </c>
      <c r="F383" s="2" t="s">
        <v>27</v>
      </c>
      <c r="G383" s="76" t="s">
        <v>229</v>
      </c>
      <c r="H383" s="12" t="s">
        <v>229</v>
      </c>
      <c r="I383" s="37">
        <v>1928</v>
      </c>
      <c r="J383" s="36" t="s">
        <v>40</v>
      </c>
      <c r="K383" s="34" t="s">
        <v>91</v>
      </c>
      <c r="L383" s="75"/>
      <c r="M383" s="101">
        <v>144</v>
      </c>
      <c r="N383" s="101">
        <v>143</v>
      </c>
      <c r="O383" s="101">
        <v>159</v>
      </c>
      <c r="P383" s="105">
        <v>142</v>
      </c>
      <c r="Q383" s="105">
        <v>183</v>
      </c>
      <c r="R383" s="105">
        <v>189</v>
      </c>
    </row>
    <row r="384" spans="1:18" ht="15.75">
      <c r="A384" s="33">
        <v>382</v>
      </c>
      <c r="B384" s="16" t="s">
        <v>453</v>
      </c>
      <c r="C384" s="34" t="s">
        <v>412</v>
      </c>
      <c r="D384" t="str">
        <f>"9200298"</f>
        <v>9200298</v>
      </c>
      <c r="E384" s="34" t="s">
        <v>467</v>
      </c>
      <c r="F384" s="2" t="s">
        <v>27</v>
      </c>
      <c r="G384" s="76" t="s">
        <v>229</v>
      </c>
      <c r="H384" s="12" t="s">
        <v>229</v>
      </c>
      <c r="I384" s="37">
        <v>1987</v>
      </c>
      <c r="J384" s="36" t="s">
        <v>39</v>
      </c>
      <c r="K384" s="34" t="s">
        <v>91</v>
      </c>
      <c r="L384" s="75"/>
      <c r="M384" s="101">
        <v>254</v>
      </c>
      <c r="N384" s="101">
        <v>247</v>
      </c>
      <c r="O384" s="101">
        <v>231</v>
      </c>
      <c r="P384" s="105">
        <v>205</v>
      </c>
      <c r="Q384" s="105">
        <v>211</v>
      </c>
      <c r="R384" s="105">
        <v>215</v>
      </c>
    </row>
    <row r="385" spans="1:18" ht="15.75">
      <c r="A385" s="33">
        <v>383</v>
      </c>
      <c r="B385" s="16" t="s">
        <v>453</v>
      </c>
      <c r="C385" s="34" t="s">
        <v>441</v>
      </c>
      <c r="D385" t="str">
        <f>"9200062"</f>
        <v>9200062</v>
      </c>
      <c r="E385" s="34" t="s">
        <v>467</v>
      </c>
      <c r="F385" s="2" t="s">
        <v>27</v>
      </c>
      <c r="G385" s="76" t="s">
        <v>227</v>
      </c>
      <c r="H385" s="12" t="s">
        <v>502</v>
      </c>
      <c r="I385" s="91"/>
      <c r="J385" s="36" t="s">
        <v>40</v>
      </c>
      <c r="K385" s="34" t="s">
        <v>91</v>
      </c>
      <c r="L385" s="75"/>
      <c r="M385" s="101">
        <v>12</v>
      </c>
      <c r="N385" s="101">
        <v>10</v>
      </c>
      <c r="O385" s="101">
        <v>10</v>
      </c>
      <c r="P385" s="105">
        <v>8</v>
      </c>
      <c r="Q385" s="105">
        <v>9</v>
      </c>
      <c r="R385" s="105">
        <v>7</v>
      </c>
    </row>
    <row r="386" spans="1:18" ht="15.75">
      <c r="A386" s="33">
        <v>384</v>
      </c>
      <c r="B386" s="16" t="s">
        <v>453</v>
      </c>
      <c r="C386" s="34" t="s">
        <v>438</v>
      </c>
      <c r="D386" t="str">
        <f>"9200081"</f>
        <v>9200081</v>
      </c>
      <c r="E386" s="34" t="s">
        <v>467</v>
      </c>
      <c r="F386" s="2" t="s">
        <v>27</v>
      </c>
      <c r="G386" s="76" t="s">
        <v>227</v>
      </c>
      <c r="H386" s="12" t="s">
        <v>227</v>
      </c>
      <c r="I386" s="37">
        <v>1955</v>
      </c>
      <c r="J386" s="36" t="s">
        <v>40</v>
      </c>
      <c r="K386" s="34" t="s">
        <v>91</v>
      </c>
      <c r="L386" s="75"/>
      <c r="M386" s="101">
        <v>108</v>
      </c>
      <c r="N386" s="101">
        <v>112</v>
      </c>
      <c r="O386" s="101">
        <v>110</v>
      </c>
      <c r="P386" s="105">
        <v>98</v>
      </c>
      <c r="Q386" s="105">
        <v>93</v>
      </c>
      <c r="R386" s="105">
        <v>103</v>
      </c>
    </row>
    <row r="387" spans="1:18" ht="15.75">
      <c r="A387" s="33">
        <v>385</v>
      </c>
      <c r="B387" s="16" t="s">
        <v>453</v>
      </c>
      <c r="C387" s="34" t="s">
        <v>419</v>
      </c>
      <c r="D387" t="str">
        <f>"9200088"</f>
        <v>9200088</v>
      </c>
      <c r="E387" s="34" t="s">
        <v>467</v>
      </c>
      <c r="F387" s="2" t="s">
        <v>27</v>
      </c>
      <c r="G387" s="76" t="s">
        <v>227</v>
      </c>
      <c r="H387" s="12" t="s">
        <v>472</v>
      </c>
      <c r="I387" s="37">
        <v>1958</v>
      </c>
      <c r="J387" s="36" t="s">
        <v>40</v>
      </c>
      <c r="K387" s="34" t="s">
        <v>91</v>
      </c>
      <c r="L387" s="75"/>
      <c r="M387" s="101">
        <v>43</v>
      </c>
      <c r="N387" s="101">
        <v>38</v>
      </c>
      <c r="O387" s="101">
        <v>41</v>
      </c>
      <c r="P387" s="105">
        <v>38</v>
      </c>
      <c r="Q387" s="105">
        <v>24</v>
      </c>
      <c r="R387" s="105">
        <v>28</v>
      </c>
    </row>
    <row r="388" spans="1:18" ht="15.75">
      <c r="A388" s="33">
        <v>386</v>
      </c>
      <c r="B388" s="16" t="s">
        <v>453</v>
      </c>
      <c r="C388" s="34" t="s">
        <v>420</v>
      </c>
      <c r="D388" t="str">
        <f>"9200091"</f>
        <v>9200091</v>
      </c>
      <c r="E388" s="34" t="s">
        <v>467</v>
      </c>
      <c r="F388" s="2" t="s">
        <v>27</v>
      </c>
      <c r="G388" s="76" t="s">
        <v>227</v>
      </c>
      <c r="H388" s="12" t="s">
        <v>473</v>
      </c>
      <c r="I388" s="37">
        <v>1946</v>
      </c>
      <c r="J388" s="36" t="s">
        <v>40</v>
      </c>
      <c r="K388" s="34" t="s">
        <v>91</v>
      </c>
      <c r="L388" s="75"/>
      <c r="M388" s="101">
        <v>13</v>
      </c>
      <c r="N388" s="101">
        <v>13</v>
      </c>
      <c r="O388" s="101">
        <v>11</v>
      </c>
      <c r="P388" s="105">
        <v>10</v>
      </c>
      <c r="Q388" s="105">
        <v>8</v>
      </c>
      <c r="R388" s="105">
        <v>7</v>
      </c>
    </row>
    <row r="389" spans="1:18" ht="15.75">
      <c r="A389" s="33">
        <v>387</v>
      </c>
      <c r="B389" s="16" t="s">
        <v>453</v>
      </c>
      <c r="C389" s="34" t="s">
        <v>439</v>
      </c>
      <c r="D389" t="str">
        <f>"9200092"</f>
        <v>9200092</v>
      </c>
      <c r="E389" s="34" t="s">
        <v>467</v>
      </c>
      <c r="F389" s="2" t="s">
        <v>27</v>
      </c>
      <c r="G389" s="76" t="s">
        <v>227</v>
      </c>
      <c r="H389" s="12" t="s">
        <v>360</v>
      </c>
      <c r="I389" s="37">
        <v>1958</v>
      </c>
      <c r="J389" s="36" t="s">
        <v>40</v>
      </c>
      <c r="K389" s="34" t="s">
        <v>91</v>
      </c>
      <c r="L389" s="75"/>
      <c r="M389" s="101">
        <v>18</v>
      </c>
      <c r="N389" s="101">
        <v>15</v>
      </c>
      <c r="O389" s="101">
        <v>10</v>
      </c>
      <c r="P389" s="105">
        <v>5</v>
      </c>
      <c r="Q389" s="105">
        <v>6</v>
      </c>
      <c r="R389" s="105">
        <v>4</v>
      </c>
    </row>
    <row r="390" spans="1:18" ht="15.75">
      <c r="A390" s="33">
        <v>388</v>
      </c>
      <c r="B390" s="16" t="s">
        <v>453</v>
      </c>
      <c r="C390" s="34" t="s">
        <v>452</v>
      </c>
      <c r="D390" t="str">
        <f>"9200096"</f>
        <v>9200096</v>
      </c>
      <c r="E390" s="34" t="s">
        <v>467</v>
      </c>
      <c r="F390" s="2" t="s">
        <v>27</v>
      </c>
      <c r="G390" s="76" t="s">
        <v>227</v>
      </c>
      <c r="H390" s="12" t="s">
        <v>233</v>
      </c>
      <c r="I390" s="37">
        <v>1954</v>
      </c>
      <c r="J390" s="36" t="s">
        <v>40</v>
      </c>
      <c r="K390" s="34" t="s">
        <v>91</v>
      </c>
      <c r="L390" s="75"/>
      <c r="M390" s="101">
        <v>35</v>
      </c>
      <c r="N390" s="101">
        <v>22</v>
      </c>
      <c r="O390" s="101">
        <v>18</v>
      </c>
      <c r="P390" s="105">
        <v>16</v>
      </c>
      <c r="Q390" s="105">
        <v>18</v>
      </c>
      <c r="R390" s="105">
        <v>15</v>
      </c>
    </row>
    <row r="391" spans="1:18" ht="15.75">
      <c r="A391" s="33">
        <v>389</v>
      </c>
      <c r="B391" s="16" t="s">
        <v>453</v>
      </c>
      <c r="C391" s="34" t="s">
        <v>429</v>
      </c>
      <c r="D391" t="str">
        <f>"9200215"</f>
        <v>9200215</v>
      </c>
      <c r="E391" s="34" t="s">
        <v>467</v>
      </c>
      <c r="F391" s="2" t="s">
        <v>27</v>
      </c>
      <c r="G391" s="76" t="s">
        <v>225</v>
      </c>
      <c r="H391" s="12" t="s">
        <v>348</v>
      </c>
      <c r="I391" s="37">
        <v>1996</v>
      </c>
      <c r="J391" s="36" t="s">
        <v>40</v>
      </c>
      <c r="K391" s="34" t="s">
        <v>91</v>
      </c>
      <c r="L391" s="75"/>
      <c r="M391" s="101">
        <v>87</v>
      </c>
      <c r="N391" s="101">
        <v>110</v>
      </c>
      <c r="O391" s="101">
        <v>93</v>
      </c>
      <c r="P391" s="105">
        <v>42</v>
      </c>
      <c r="Q391" s="105">
        <v>43</v>
      </c>
      <c r="R391" s="105">
        <v>40</v>
      </c>
    </row>
    <row r="392" spans="1:18" ht="15.75">
      <c r="A392" s="33">
        <v>390</v>
      </c>
      <c r="B392" s="16" t="s">
        <v>453</v>
      </c>
      <c r="C392" s="34" t="s">
        <v>445</v>
      </c>
      <c r="D392" t="str">
        <f>"9200378"</f>
        <v>9200378</v>
      </c>
      <c r="E392" s="34" t="s">
        <v>467</v>
      </c>
      <c r="F392" s="2" t="s">
        <v>27</v>
      </c>
      <c r="G392" s="76" t="s">
        <v>225</v>
      </c>
      <c r="H392" s="12" t="s">
        <v>231</v>
      </c>
      <c r="I392" s="37">
        <v>1929</v>
      </c>
      <c r="J392" s="36" t="s">
        <v>40</v>
      </c>
      <c r="K392" s="34" t="s">
        <v>91</v>
      </c>
      <c r="L392" s="75"/>
      <c r="M392" s="101">
        <v>41</v>
      </c>
      <c r="N392" s="101">
        <v>37</v>
      </c>
      <c r="O392" s="101">
        <v>34</v>
      </c>
      <c r="P392" s="105">
        <v>28</v>
      </c>
      <c r="Q392" s="105">
        <v>27</v>
      </c>
      <c r="R392" s="105">
        <v>28</v>
      </c>
    </row>
    <row r="393" spans="1:18" ht="15.75">
      <c r="A393" s="33">
        <v>391</v>
      </c>
      <c r="B393" s="16" t="s">
        <v>453</v>
      </c>
      <c r="C393" s="34" t="s">
        <v>432</v>
      </c>
      <c r="D393" t="str">
        <f>"9200395"</f>
        <v>9200395</v>
      </c>
      <c r="E393" s="34" t="s">
        <v>467</v>
      </c>
      <c r="F393" s="2" t="s">
        <v>27</v>
      </c>
      <c r="G393" s="76" t="s">
        <v>225</v>
      </c>
      <c r="H393" s="12" t="s">
        <v>479</v>
      </c>
      <c r="I393" s="37">
        <v>1927</v>
      </c>
      <c r="J393" s="36" t="s">
        <v>40</v>
      </c>
      <c r="K393" s="34" t="s">
        <v>91</v>
      </c>
      <c r="L393" s="75"/>
      <c r="M393" s="101">
        <v>11</v>
      </c>
      <c r="N393" s="101">
        <v>12</v>
      </c>
      <c r="O393" s="101">
        <v>9</v>
      </c>
      <c r="P393" s="105">
        <v>11</v>
      </c>
      <c r="Q393" s="105">
        <v>12</v>
      </c>
      <c r="R393" s="105">
        <v>11</v>
      </c>
    </row>
    <row r="394" spans="1:18" ht="15.75">
      <c r="A394" s="33">
        <v>392</v>
      </c>
      <c r="B394" s="16" t="s">
        <v>453</v>
      </c>
      <c r="C394" s="34" t="s">
        <v>457</v>
      </c>
      <c r="D394" s="96"/>
      <c r="E394" s="34" t="s">
        <v>467</v>
      </c>
      <c r="F394" s="2" t="s">
        <v>27</v>
      </c>
      <c r="G394" s="76" t="s">
        <v>225</v>
      </c>
      <c r="H394" s="12" t="s">
        <v>235</v>
      </c>
      <c r="I394" s="37">
        <v>1952</v>
      </c>
      <c r="J394" s="36" t="s">
        <v>40</v>
      </c>
      <c r="K394" s="34" t="s">
        <v>91</v>
      </c>
      <c r="L394" s="75"/>
      <c r="M394" s="101">
        <v>32</v>
      </c>
      <c r="N394" s="101">
        <v>31</v>
      </c>
      <c r="O394" s="101">
        <v>34</v>
      </c>
      <c r="P394" s="105">
        <v>7</v>
      </c>
      <c r="Q394" s="105">
        <v>8</v>
      </c>
      <c r="R394" s="105">
        <v>7</v>
      </c>
    </row>
    <row r="395" spans="1:18" ht="15.75">
      <c r="A395" s="33">
        <v>393</v>
      </c>
      <c r="B395" s="16" t="s">
        <v>453</v>
      </c>
      <c r="C395" s="34" t="s">
        <v>459</v>
      </c>
      <c r="D395" s="96"/>
      <c r="E395" s="34" t="s">
        <v>467</v>
      </c>
      <c r="F395" s="2" t="s">
        <v>27</v>
      </c>
      <c r="G395" s="76" t="s">
        <v>225</v>
      </c>
      <c r="H395" s="12" t="s">
        <v>480</v>
      </c>
      <c r="I395" s="37">
        <v>1986</v>
      </c>
      <c r="J395" s="36" t="s">
        <v>40</v>
      </c>
      <c r="K395" s="34" t="s">
        <v>91</v>
      </c>
      <c r="L395" s="75"/>
      <c r="M395" s="104"/>
      <c r="N395" s="104"/>
      <c r="O395" s="104"/>
      <c r="P395" s="105"/>
      <c r="Q395" s="105"/>
      <c r="R395" s="105"/>
    </row>
    <row r="396" spans="1:18" ht="15.75">
      <c r="A396" s="33">
        <v>394</v>
      </c>
      <c r="B396" s="16" t="s">
        <v>453</v>
      </c>
      <c r="C396" s="34" t="s">
        <v>374</v>
      </c>
      <c r="D396" t="str">
        <f>"9200168"</f>
        <v>9200168</v>
      </c>
      <c r="E396" s="34" t="s">
        <v>468</v>
      </c>
      <c r="F396" s="2" t="s">
        <v>27</v>
      </c>
      <c r="G396" s="77" t="s">
        <v>226</v>
      </c>
      <c r="H396" s="12" t="s">
        <v>232</v>
      </c>
      <c r="I396" s="37">
        <v>1975</v>
      </c>
      <c r="J396" s="36" t="s">
        <v>40</v>
      </c>
      <c r="K396" s="34" t="s">
        <v>91</v>
      </c>
      <c r="L396" s="16"/>
      <c r="M396" s="101">
        <v>0</v>
      </c>
      <c r="N396" s="104"/>
      <c r="O396" s="104"/>
      <c r="P396" s="105"/>
      <c r="Q396" s="105"/>
      <c r="R396" s="105"/>
    </row>
    <row r="397" spans="1:18" ht="15.75">
      <c r="A397" s="33">
        <v>395</v>
      </c>
      <c r="B397" s="16" t="s">
        <v>453</v>
      </c>
      <c r="C397" s="34" t="s">
        <v>466</v>
      </c>
      <c r="D397" s="96"/>
      <c r="E397" s="34" t="s">
        <v>468</v>
      </c>
      <c r="F397" s="2" t="s">
        <v>27</v>
      </c>
      <c r="G397" s="77" t="s">
        <v>226</v>
      </c>
      <c r="H397" s="12" t="s">
        <v>487</v>
      </c>
      <c r="I397" s="37">
        <v>1970</v>
      </c>
      <c r="J397" s="36" t="s">
        <v>40</v>
      </c>
      <c r="K397" s="34" t="s">
        <v>91</v>
      </c>
      <c r="L397" s="16"/>
      <c r="M397" s="101">
        <v>9</v>
      </c>
      <c r="N397" s="101">
        <v>9</v>
      </c>
      <c r="O397" s="101">
        <v>8</v>
      </c>
      <c r="P397" s="105">
        <v>8</v>
      </c>
      <c r="Q397" s="105">
        <v>8</v>
      </c>
      <c r="R397" s="105">
        <v>10</v>
      </c>
    </row>
    <row r="398" spans="1:18" ht="15.75">
      <c r="A398" s="33">
        <v>396</v>
      </c>
      <c r="B398" s="16" t="s">
        <v>453</v>
      </c>
      <c r="C398" s="34" t="s">
        <v>365</v>
      </c>
      <c r="D398" t="str">
        <f>"9200149"</f>
        <v>9200149</v>
      </c>
      <c r="E398" s="34" t="s">
        <v>468</v>
      </c>
      <c r="F398" s="2" t="s">
        <v>27</v>
      </c>
      <c r="G398" s="76" t="s">
        <v>329</v>
      </c>
      <c r="H398" s="12" t="s">
        <v>503</v>
      </c>
      <c r="I398" s="37">
        <v>1951</v>
      </c>
      <c r="J398" s="36" t="s">
        <v>40</v>
      </c>
      <c r="K398" s="34" t="s">
        <v>91</v>
      </c>
      <c r="L398" s="75"/>
      <c r="M398" s="101">
        <v>15</v>
      </c>
      <c r="N398" s="101">
        <v>12</v>
      </c>
      <c r="O398" s="101">
        <v>11</v>
      </c>
      <c r="P398" s="105">
        <v>14</v>
      </c>
      <c r="Q398" s="105">
        <v>8</v>
      </c>
      <c r="R398" s="105">
        <v>6</v>
      </c>
    </row>
    <row r="399" spans="1:18" ht="15.75">
      <c r="A399" s="33">
        <v>397</v>
      </c>
      <c r="B399" s="16" t="s">
        <v>453</v>
      </c>
      <c r="C399" s="34" t="s">
        <v>346</v>
      </c>
      <c r="D399" t="str">
        <f>"9200434"</f>
        <v>9200434</v>
      </c>
      <c r="E399" s="34" t="s">
        <v>468</v>
      </c>
      <c r="F399" s="2" t="s">
        <v>27</v>
      </c>
      <c r="G399" s="76" t="s">
        <v>329</v>
      </c>
      <c r="H399" s="12" t="s">
        <v>478</v>
      </c>
      <c r="I399" s="91"/>
      <c r="J399" s="36" t="s">
        <v>40</v>
      </c>
      <c r="K399" s="34" t="s">
        <v>91</v>
      </c>
      <c r="L399" s="75"/>
      <c r="M399" s="101">
        <v>6</v>
      </c>
      <c r="N399" s="101">
        <v>4</v>
      </c>
      <c r="O399" s="101">
        <v>8</v>
      </c>
      <c r="P399" s="105">
        <v>8</v>
      </c>
      <c r="Q399" s="105">
        <v>6</v>
      </c>
      <c r="R399" s="105">
        <v>12</v>
      </c>
    </row>
    <row r="400" spans="1:18" ht="15.75">
      <c r="A400" s="33">
        <v>398</v>
      </c>
      <c r="B400" s="16" t="s">
        <v>453</v>
      </c>
      <c r="C400" s="34" t="s">
        <v>328</v>
      </c>
      <c r="D400" t="str">
        <f>"9200554"</f>
        <v>9200554</v>
      </c>
      <c r="E400" s="34" t="s">
        <v>468</v>
      </c>
      <c r="F400" s="2" t="s">
        <v>27</v>
      </c>
      <c r="G400" s="76" t="s">
        <v>329</v>
      </c>
      <c r="H400" s="12" t="s">
        <v>470</v>
      </c>
      <c r="I400" s="37">
        <v>1989</v>
      </c>
      <c r="J400" s="36" t="s">
        <v>39</v>
      </c>
      <c r="K400" s="34" t="s">
        <v>91</v>
      </c>
      <c r="L400" s="75"/>
      <c r="M400" s="101">
        <v>5</v>
      </c>
      <c r="N400" s="101">
        <v>9</v>
      </c>
      <c r="O400" s="101">
        <v>6</v>
      </c>
      <c r="P400" s="105">
        <v>5</v>
      </c>
      <c r="Q400" s="105">
        <v>6</v>
      </c>
      <c r="R400" s="105">
        <v>13</v>
      </c>
    </row>
    <row r="401" spans="1:18" ht="15.75">
      <c r="A401" s="33">
        <v>399</v>
      </c>
      <c r="B401" s="16" t="s">
        <v>453</v>
      </c>
      <c r="C401" s="34" t="s">
        <v>349</v>
      </c>
      <c r="D401" t="str">
        <f>"9200601"</f>
        <v>9200601</v>
      </c>
      <c r="E401" s="34" t="s">
        <v>468</v>
      </c>
      <c r="F401" s="2" t="s">
        <v>27</v>
      </c>
      <c r="G401" s="76" t="s">
        <v>329</v>
      </c>
      <c r="H401" s="12" t="s">
        <v>501</v>
      </c>
      <c r="I401" s="91"/>
      <c r="J401" s="36" t="s">
        <v>40</v>
      </c>
      <c r="K401" s="34" t="s">
        <v>91</v>
      </c>
      <c r="L401" s="75"/>
      <c r="M401" s="101">
        <v>13</v>
      </c>
      <c r="N401" s="101">
        <v>11</v>
      </c>
      <c r="O401" s="101">
        <v>11</v>
      </c>
      <c r="P401" s="105">
        <v>7</v>
      </c>
      <c r="Q401" s="105">
        <v>9</v>
      </c>
      <c r="R401" s="105">
        <v>11</v>
      </c>
    </row>
    <row r="402" spans="1:18" ht="15.75">
      <c r="A402" s="33">
        <v>400</v>
      </c>
      <c r="B402" s="16" t="s">
        <v>453</v>
      </c>
      <c r="C402" s="34" t="s">
        <v>334</v>
      </c>
      <c r="D402" t="str">
        <f>"9200526"</f>
        <v>9200526</v>
      </c>
      <c r="E402" s="34" t="s">
        <v>468</v>
      </c>
      <c r="F402" s="2" t="s">
        <v>27</v>
      </c>
      <c r="G402" s="76" t="s">
        <v>335</v>
      </c>
      <c r="H402" s="12" t="s">
        <v>490</v>
      </c>
      <c r="I402" s="37">
        <v>1954</v>
      </c>
      <c r="J402" s="36" t="s">
        <v>40</v>
      </c>
      <c r="K402" s="34" t="s">
        <v>139</v>
      </c>
      <c r="L402" s="75"/>
      <c r="M402" s="101">
        <v>8</v>
      </c>
      <c r="N402" s="101">
        <v>7</v>
      </c>
      <c r="O402" s="101">
        <v>6</v>
      </c>
      <c r="P402" s="105">
        <v>5</v>
      </c>
      <c r="Q402" s="105">
        <v>3</v>
      </c>
      <c r="R402" s="105">
        <v>4</v>
      </c>
    </row>
    <row r="403" spans="1:18" ht="15.75">
      <c r="A403" s="33">
        <v>401</v>
      </c>
      <c r="B403" s="16" t="s">
        <v>453</v>
      </c>
      <c r="C403" s="34" t="s">
        <v>361</v>
      </c>
      <c r="D403" t="str">
        <f>"9520853"</f>
        <v>9520853</v>
      </c>
      <c r="E403" s="34" t="s">
        <v>468</v>
      </c>
      <c r="F403" s="2" t="s">
        <v>27</v>
      </c>
      <c r="G403" s="76" t="s">
        <v>335</v>
      </c>
      <c r="H403" s="12" t="s">
        <v>485</v>
      </c>
      <c r="I403" s="37">
        <v>2007</v>
      </c>
      <c r="J403" s="36" t="s">
        <v>40</v>
      </c>
      <c r="K403" s="34" t="s">
        <v>91</v>
      </c>
      <c r="L403" s="75"/>
      <c r="M403" s="101">
        <v>1</v>
      </c>
      <c r="N403" s="104"/>
      <c r="O403" s="101">
        <v>2</v>
      </c>
      <c r="P403" s="105">
        <v>4</v>
      </c>
      <c r="Q403" s="105">
        <v>1</v>
      </c>
      <c r="R403" s="105"/>
    </row>
    <row r="404" spans="1:18" ht="15.75">
      <c r="A404" s="33">
        <v>402</v>
      </c>
      <c r="B404" s="16" t="s">
        <v>453</v>
      </c>
      <c r="C404" s="34" t="s">
        <v>368</v>
      </c>
      <c r="D404" t="str">
        <f>"9520854"</f>
        <v>9520854</v>
      </c>
      <c r="E404" s="34" t="s">
        <v>468</v>
      </c>
      <c r="F404" s="2" t="s">
        <v>27</v>
      </c>
      <c r="G404" s="76" t="s">
        <v>335</v>
      </c>
      <c r="H404" s="12" t="s">
        <v>369</v>
      </c>
      <c r="I404" s="37">
        <v>1897</v>
      </c>
      <c r="J404" s="36" t="s">
        <v>40</v>
      </c>
      <c r="K404" s="34" t="s">
        <v>91</v>
      </c>
      <c r="L404" s="75"/>
      <c r="M404" s="101">
        <v>30</v>
      </c>
      <c r="N404" s="101">
        <v>27</v>
      </c>
      <c r="O404" s="101">
        <v>16</v>
      </c>
      <c r="P404" s="105">
        <v>18</v>
      </c>
      <c r="Q404" s="105">
        <v>24</v>
      </c>
      <c r="R404" s="105">
        <v>17</v>
      </c>
    </row>
    <row r="405" spans="1:18" ht="15.75">
      <c r="A405" s="33">
        <v>403</v>
      </c>
      <c r="B405" s="16" t="s">
        <v>453</v>
      </c>
      <c r="C405" s="34" t="s">
        <v>375</v>
      </c>
      <c r="D405" t="str">
        <f>"9200072"</f>
        <v>9200072</v>
      </c>
      <c r="E405" s="34" t="s">
        <v>468</v>
      </c>
      <c r="F405" s="2" t="s">
        <v>27</v>
      </c>
      <c r="G405" s="76" t="s">
        <v>228</v>
      </c>
      <c r="H405" s="12" t="s">
        <v>488</v>
      </c>
      <c r="I405" s="37">
        <v>1986</v>
      </c>
      <c r="J405" s="36" t="s">
        <v>39</v>
      </c>
      <c r="K405" s="34" t="s">
        <v>91</v>
      </c>
      <c r="L405" s="16"/>
      <c r="M405" s="101">
        <v>9</v>
      </c>
      <c r="N405" s="101">
        <v>8</v>
      </c>
      <c r="O405" s="101">
        <v>3</v>
      </c>
      <c r="P405" s="105">
        <v>3</v>
      </c>
      <c r="Q405" s="105">
        <v>6</v>
      </c>
      <c r="R405" s="105">
        <v>7</v>
      </c>
    </row>
    <row r="406" spans="1:18" ht="15.75">
      <c r="A406" s="33">
        <v>404</v>
      </c>
      <c r="B406" s="16" t="s">
        <v>453</v>
      </c>
      <c r="C406" s="34" t="s">
        <v>465</v>
      </c>
      <c r="D406" t="str">
        <f>"9200111"</f>
        <v>9200111</v>
      </c>
      <c r="E406" s="34" t="s">
        <v>468</v>
      </c>
      <c r="F406" s="2" t="s">
        <v>27</v>
      </c>
      <c r="G406" s="76" t="s">
        <v>228</v>
      </c>
      <c r="H406" s="12" t="s">
        <v>236</v>
      </c>
      <c r="I406" s="37">
        <v>1954</v>
      </c>
      <c r="J406" s="36" t="s">
        <v>40</v>
      </c>
      <c r="K406" s="34" t="s">
        <v>91</v>
      </c>
      <c r="L406" s="75"/>
      <c r="M406" s="101">
        <v>35</v>
      </c>
      <c r="N406" s="101">
        <v>35</v>
      </c>
      <c r="O406" s="101">
        <v>36</v>
      </c>
      <c r="P406" s="105">
        <v>33</v>
      </c>
      <c r="Q406" s="105">
        <v>30</v>
      </c>
      <c r="R406" s="105">
        <v>34</v>
      </c>
    </row>
    <row r="407" spans="1:18" ht="15.75">
      <c r="A407" s="33">
        <v>405</v>
      </c>
      <c r="B407" s="16" t="s">
        <v>453</v>
      </c>
      <c r="C407" s="34" t="s">
        <v>344</v>
      </c>
      <c r="D407" t="str">
        <f>"9200361"</f>
        <v>9200361</v>
      </c>
      <c r="E407" s="34" t="s">
        <v>468</v>
      </c>
      <c r="F407" s="2" t="s">
        <v>27</v>
      </c>
      <c r="G407" s="76" t="s">
        <v>228</v>
      </c>
      <c r="H407" s="12" t="s">
        <v>228</v>
      </c>
      <c r="I407" s="91"/>
      <c r="J407" s="36" t="s">
        <v>40</v>
      </c>
      <c r="K407" s="34" t="s">
        <v>91</v>
      </c>
      <c r="L407" s="75"/>
      <c r="M407" s="101">
        <v>12</v>
      </c>
      <c r="N407" s="101">
        <v>10</v>
      </c>
      <c r="O407" s="101">
        <v>8</v>
      </c>
      <c r="P407" s="105">
        <v>9</v>
      </c>
      <c r="Q407" s="105">
        <v>10</v>
      </c>
      <c r="R407" s="105">
        <v>9</v>
      </c>
    </row>
    <row r="408" spans="1:18" ht="15.75">
      <c r="A408" s="33">
        <v>406</v>
      </c>
      <c r="B408" s="16" t="s">
        <v>453</v>
      </c>
      <c r="C408" s="34" t="s">
        <v>352</v>
      </c>
      <c r="D408" s="76" t="str">
        <f>"9200368"</f>
        <v>9200368</v>
      </c>
      <c r="E408" s="34" t="s">
        <v>468</v>
      </c>
      <c r="F408" s="2" t="s">
        <v>27</v>
      </c>
      <c r="G408" s="76" t="s">
        <v>228</v>
      </c>
      <c r="H408" s="12" t="s">
        <v>481</v>
      </c>
      <c r="I408" s="37">
        <v>1932</v>
      </c>
      <c r="J408" s="36" t="s">
        <v>40</v>
      </c>
      <c r="K408" s="34" t="s">
        <v>91</v>
      </c>
      <c r="L408" s="75"/>
      <c r="M408" s="101">
        <v>2</v>
      </c>
      <c r="N408" s="104"/>
      <c r="O408" s="104"/>
      <c r="P408" s="105"/>
      <c r="Q408" s="105">
        <v>1</v>
      </c>
      <c r="R408" s="105">
        <v>1</v>
      </c>
    </row>
    <row r="409" spans="1:18" ht="15.75">
      <c r="A409" s="33">
        <v>407</v>
      </c>
      <c r="B409" s="16" t="s">
        <v>453</v>
      </c>
      <c r="C409" s="34" t="s">
        <v>337</v>
      </c>
      <c r="D409" s="116" t="str">
        <f>"9200454"</f>
        <v>9200454</v>
      </c>
      <c r="E409" s="34" t="s">
        <v>468</v>
      </c>
      <c r="F409" s="2" t="s">
        <v>27</v>
      </c>
      <c r="G409" s="76" t="s">
        <v>228</v>
      </c>
      <c r="H409" s="12" t="s">
        <v>474</v>
      </c>
      <c r="I409" s="37">
        <v>1926</v>
      </c>
      <c r="J409" s="36" t="s">
        <v>40</v>
      </c>
      <c r="K409" s="34" t="s">
        <v>91</v>
      </c>
      <c r="L409" s="75"/>
      <c r="M409" s="101">
        <v>6</v>
      </c>
      <c r="N409" s="101">
        <v>0</v>
      </c>
      <c r="O409" s="104"/>
      <c r="P409" s="105"/>
      <c r="Q409" s="105"/>
      <c r="R409" s="105">
        <v>3</v>
      </c>
    </row>
    <row r="410" spans="1:18" ht="15.75">
      <c r="A410" s="33">
        <v>408</v>
      </c>
      <c r="B410" s="16" t="s">
        <v>453</v>
      </c>
      <c r="C410" s="34" t="s">
        <v>357</v>
      </c>
      <c r="D410" t="str">
        <f>"9200463"</f>
        <v>9200463</v>
      </c>
      <c r="E410" s="34" t="s">
        <v>468</v>
      </c>
      <c r="F410" s="2" t="s">
        <v>27</v>
      </c>
      <c r="G410" s="76" t="s">
        <v>228</v>
      </c>
      <c r="H410" s="12" t="s">
        <v>241</v>
      </c>
      <c r="I410" s="37">
        <v>1983</v>
      </c>
      <c r="J410" s="36" t="s">
        <v>40</v>
      </c>
      <c r="K410" s="34" t="s">
        <v>91</v>
      </c>
      <c r="L410" s="75"/>
      <c r="M410" s="101">
        <v>13</v>
      </c>
      <c r="N410" s="101">
        <v>11</v>
      </c>
      <c r="O410" s="101">
        <v>14</v>
      </c>
      <c r="P410" s="105">
        <v>21</v>
      </c>
      <c r="Q410" s="105">
        <v>11</v>
      </c>
      <c r="R410" s="105">
        <v>13</v>
      </c>
    </row>
    <row r="411" spans="1:18" ht="15.75">
      <c r="A411" s="33">
        <v>409</v>
      </c>
      <c r="B411" s="16" t="s">
        <v>453</v>
      </c>
      <c r="C411" s="34" t="s">
        <v>330</v>
      </c>
      <c r="D411" t="str">
        <f>"9200519"</f>
        <v>9200519</v>
      </c>
      <c r="E411" s="34" t="s">
        <v>468</v>
      </c>
      <c r="F411" s="2" t="s">
        <v>27</v>
      </c>
      <c r="G411" s="76" t="s">
        <v>228</v>
      </c>
      <c r="H411" s="12" t="s">
        <v>497</v>
      </c>
      <c r="I411" s="37">
        <v>0</v>
      </c>
      <c r="J411" s="36" t="s">
        <v>40</v>
      </c>
      <c r="K411" s="34" t="s">
        <v>91</v>
      </c>
      <c r="L411" s="75"/>
      <c r="M411" s="104"/>
      <c r="N411" s="104"/>
      <c r="O411" s="104"/>
      <c r="P411" s="105"/>
      <c r="Q411" s="105"/>
      <c r="R411" s="105"/>
    </row>
    <row r="412" spans="1:18" ht="15.75">
      <c r="A412" s="33">
        <v>410</v>
      </c>
      <c r="B412" s="16" t="s">
        <v>453</v>
      </c>
      <c r="C412" s="34" t="s">
        <v>345</v>
      </c>
      <c r="D412" t="str">
        <f>"9200536"</f>
        <v>9200536</v>
      </c>
      <c r="E412" s="34" t="s">
        <v>468</v>
      </c>
      <c r="F412" s="2" t="s">
        <v>27</v>
      </c>
      <c r="G412" s="76" t="s">
        <v>228</v>
      </c>
      <c r="H412" s="12" t="s">
        <v>477</v>
      </c>
      <c r="I412" s="37">
        <v>1910</v>
      </c>
      <c r="J412" s="36" t="s">
        <v>39</v>
      </c>
      <c r="K412" s="34" t="s">
        <v>91</v>
      </c>
      <c r="L412" s="75"/>
      <c r="M412" s="101">
        <v>6</v>
      </c>
      <c r="N412" s="101">
        <v>5</v>
      </c>
      <c r="O412" s="101">
        <v>4</v>
      </c>
      <c r="P412" s="105">
        <v>6</v>
      </c>
      <c r="Q412" s="105">
        <v>7</v>
      </c>
      <c r="R412" s="105">
        <v>4</v>
      </c>
    </row>
    <row r="413" spans="1:18" ht="15.75">
      <c r="A413" s="33">
        <v>411</v>
      </c>
      <c r="B413" s="16" t="s">
        <v>453</v>
      </c>
      <c r="C413" s="34" t="s">
        <v>338</v>
      </c>
      <c r="D413" t="str">
        <f>"9200597"</f>
        <v>9200597</v>
      </c>
      <c r="E413" s="34" t="s">
        <v>468</v>
      </c>
      <c r="F413" s="2" t="s">
        <v>27</v>
      </c>
      <c r="G413" s="76" t="s">
        <v>228</v>
      </c>
      <c r="H413" s="12" t="s">
        <v>491</v>
      </c>
      <c r="I413" s="37">
        <v>2000</v>
      </c>
      <c r="J413" s="36" t="s">
        <v>40</v>
      </c>
      <c r="K413" s="34" t="s">
        <v>91</v>
      </c>
      <c r="L413" s="75"/>
      <c r="M413" s="101">
        <v>34</v>
      </c>
      <c r="N413" s="101">
        <v>34</v>
      </c>
      <c r="O413" s="101">
        <v>35</v>
      </c>
      <c r="P413" s="105">
        <v>33</v>
      </c>
      <c r="Q413" s="105">
        <v>27</v>
      </c>
      <c r="R413" s="105">
        <v>29</v>
      </c>
    </row>
    <row r="414" spans="1:18" ht="15.75">
      <c r="A414" s="33">
        <v>412</v>
      </c>
      <c r="B414" s="16" t="s">
        <v>453</v>
      </c>
      <c r="C414" s="34" t="s">
        <v>320</v>
      </c>
      <c r="D414" t="str">
        <f>"9521645"</f>
        <v>9521645</v>
      </c>
      <c r="E414" s="34" t="s">
        <v>468</v>
      </c>
      <c r="F414" s="2" t="s">
        <v>27</v>
      </c>
      <c r="G414" s="76" t="s">
        <v>228</v>
      </c>
      <c r="H414" s="12" t="s">
        <v>236</v>
      </c>
      <c r="I414" s="37">
        <v>2010</v>
      </c>
      <c r="J414" s="36" t="s">
        <v>39</v>
      </c>
      <c r="K414" s="34" t="s">
        <v>91</v>
      </c>
      <c r="L414" s="75"/>
      <c r="M414" s="101">
        <v>51</v>
      </c>
      <c r="N414" s="101">
        <v>56</v>
      </c>
      <c r="O414" s="101">
        <v>41</v>
      </c>
      <c r="P414" s="105">
        <v>37</v>
      </c>
      <c r="Q414" s="105">
        <v>40</v>
      </c>
      <c r="R414" s="105">
        <v>42</v>
      </c>
    </row>
    <row r="415" spans="1:18" ht="15.75">
      <c r="A415" s="33">
        <v>413</v>
      </c>
      <c r="B415" s="16" t="s">
        <v>453</v>
      </c>
      <c r="C415" s="34" t="s">
        <v>315</v>
      </c>
      <c r="D415" t="str">
        <f>"9200017"</f>
        <v>9200017</v>
      </c>
      <c r="E415" s="34" t="s">
        <v>468</v>
      </c>
      <c r="F415" s="2" t="s">
        <v>27</v>
      </c>
      <c r="G415" s="76" t="s">
        <v>224</v>
      </c>
      <c r="H415" s="12" t="s">
        <v>222</v>
      </c>
      <c r="I415" s="37">
        <v>1960</v>
      </c>
      <c r="J415" s="36" t="s">
        <v>40</v>
      </c>
      <c r="K415" s="34" t="s">
        <v>91</v>
      </c>
      <c r="L415" s="75"/>
      <c r="M415" s="101">
        <v>44</v>
      </c>
      <c r="N415" s="101">
        <v>49</v>
      </c>
      <c r="O415" s="101">
        <v>36</v>
      </c>
      <c r="P415" s="105">
        <v>29</v>
      </c>
      <c r="Q415" s="105">
        <v>31</v>
      </c>
      <c r="R415" s="105">
        <v>40</v>
      </c>
    </row>
    <row r="416" spans="1:18" ht="15.75">
      <c r="A416" s="33">
        <v>414</v>
      </c>
      <c r="B416" s="16" t="s">
        <v>453</v>
      </c>
      <c r="C416" s="34" t="s">
        <v>356</v>
      </c>
      <c r="D416" t="str">
        <f>"9200048"</f>
        <v>9200048</v>
      </c>
      <c r="E416" s="34" t="s">
        <v>468</v>
      </c>
      <c r="F416" s="2" t="s">
        <v>27</v>
      </c>
      <c r="G416" s="76" t="s">
        <v>224</v>
      </c>
      <c r="H416" s="12" t="s">
        <v>238</v>
      </c>
      <c r="I416" s="37">
        <v>1990</v>
      </c>
      <c r="J416" s="36" t="s">
        <v>39</v>
      </c>
      <c r="K416" s="34" t="s">
        <v>91</v>
      </c>
      <c r="L416" s="75"/>
      <c r="M416" s="101">
        <v>10</v>
      </c>
      <c r="N416" s="101">
        <v>12</v>
      </c>
      <c r="O416" s="101">
        <v>16</v>
      </c>
      <c r="P416" s="105">
        <v>9</v>
      </c>
      <c r="Q416" s="105">
        <v>5</v>
      </c>
      <c r="R416" s="105">
        <v>8</v>
      </c>
    </row>
    <row r="417" spans="1:18" ht="15.75">
      <c r="A417" s="33">
        <v>415</v>
      </c>
      <c r="B417" s="16" t="s">
        <v>453</v>
      </c>
      <c r="C417" s="34" t="s">
        <v>372</v>
      </c>
      <c r="D417" t="str">
        <f>"9200066"</f>
        <v>9200066</v>
      </c>
      <c r="E417" s="34" t="s">
        <v>468</v>
      </c>
      <c r="F417" s="2" t="s">
        <v>27</v>
      </c>
      <c r="G417" s="76" t="s">
        <v>224</v>
      </c>
      <c r="H417" s="12" t="s">
        <v>332</v>
      </c>
      <c r="I417" s="37">
        <v>1990</v>
      </c>
      <c r="J417" s="36" t="s">
        <v>39</v>
      </c>
      <c r="K417" s="34" t="s">
        <v>91</v>
      </c>
      <c r="L417" s="75"/>
      <c r="M417" s="101">
        <v>61</v>
      </c>
      <c r="N417" s="101">
        <v>52</v>
      </c>
      <c r="O417" s="101">
        <v>54</v>
      </c>
      <c r="P417" s="105">
        <v>40</v>
      </c>
      <c r="Q417" s="105">
        <v>36</v>
      </c>
      <c r="R417" s="105">
        <v>39</v>
      </c>
    </row>
    <row r="418" spans="1:18" ht="15.75">
      <c r="A418" s="33">
        <v>416</v>
      </c>
      <c r="B418" s="16" t="s">
        <v>453</v>
      </c>
      <c r="C418" s="34" t="s">
        <v>296</v>
      </c>
      <c r="D418" t="str">
        <f>"9200099"</f>
        <v>9200099</v>
      </c>
      <c r="E418" s="34" t="s">
        <v>468</v>
      </c>
      <c r="F418" s="2" t="s">
        <v>27</v>
      </c>
      <c r="G418" s="76" t="s">
        <v>224</v>
      </c>
      <c r="H418" s="12" t="s">
        <v>27</v>
      </c>
      <c r="I418" s="37">
        <v>1982</v>
      </c>
      <c r="J418" s="36" t="s">
        <v>40</v>
      </c>
      <c r="K418" s="34" t="s">
        <v>91</v>
      </c>
      <c r="L418" s="75"/>
      <c r="M418" s="101">
        <v>55</v>
      </c>
      <c r="N418" s="101">
        <v>54</v>
      </c>
      <c r="O418" s="101">
        <v>47</v>
      </c>
      <c r="P418" s="105">
        <v>42</v>
      </c>
      <c r="Q418" s="105">
        <v>37</v>
      </c>
      <c r="R418" s="105">
        <v>33</v>
      </c>
    </row>
    <row r="419" spans="1:18" ht="15.75">
      <c r="A419" s="33">
        <v>417</v>
      </c>
      <c r="B419" s="16" t="s">
        <v>453</v>
      </c>
      <c r="C419" s="34" t="s">
        <v>293</v>
      </c>
      <c r="D419" t="str">
        <f>"9200103"</f>
        <v>9200103</v>
      </c>
      <c r="E419" s="34" t="s">
        <v>468</v>
      </c>
      <c r="F419" s="2" t="s">
        <v>27</v>
      </c>
      <c r="G419" s="76" t="s">
        <v>224</v>
      </c>
      <c r="H419" s="12" t="s">
        <v>27</v>
      </c>
      <c r="I419" s="37">
        <v>1994</v>
      </c>
      <c r="J419" s="36" t="s">
        <v>39</v>
      </c>
      <c r="K419" s="34" t="s">
        <v>91</v>
      </c>
      <c r="L419" s="75"/>
      <c r="M419" s="101">
        <v>56</v>
      </c>
      <c r="N419" s="101">
        <v>52</v>
      </c>
      <c r="O419" s="101">
        <v>44</v>
      </c>
      <c r="P419" s="105">
        <v>44</v>
      </c>
      <c r="Q419" s="105">
        <v>44</v>
      </c>
      <c r="R419" s="105">
        <v>49</v>
      </c>
    </row>
    <row r="420" spans="1:18" ht="15.75">
      <c r="A420" s="33">
        <v>418</v>
      </c>
      <c r="B420" s="16" t="s">
        <v>453</v>
      </c>
      <c r="C420" s="34" t="s">
        <v>343</v>
      </c>
      <c r="D420" t="str">
        <f>"9200120"</f>
        <v>9200120</v>
      </c>
      <c r="E420" s="34" t="s">
        <v>468</v>
      </c>
      <c r="F420" s="2" t="s">
        <v>27</v>
      </c>
      <c r="G420" s="76" t="s">
        <v>224</v>
      </c>
      <c r="H420" s="12" t="s">
        <v>475</v>
      </c>
      <c r="I420" s="37">
        <v>1951</v>
      </c>
      <c r="J420" s="36" t="s">
        <v>40</v>
      </c>
      <c r="K420" s="34" t="s">
        <v>91</v>
      </c>
      <c r="L420" s="75"/>
      <c r="M420" s="101">
        <v>1</v>
      </c>
      <c r="N420" s="104"/>
      <c r="O420" s="104"/>
      <c r="P420" s="105"/>
      <c r="Q420" s="105"/>
      <c r="R420" s="105"/>
    </row>
    <row r="421" spans="1:18" ht="15.75">
      <c r="A421" s="33">
        <v>419</v>
      </c>
      <c r="B421" s="16" t="s">
        <v>453</v>
      </c>
      <c r="C421" s="34" t="s">
        <v>321</v>
      </c>
      <c r="D421" t="str">
        <f>"9200129"</f>
        <v>9200129</v>
      </c>
      <c r="E421" s="34" t="s">
        <v>468</v>
      </c>
      <c r="F421" s="2" t="s">
        <v>27</v>
      </c>
      <c r="G421" s="76" t="s">
        <v>224</v>
      </c>
      <c r="H421" s="12" t="s">
        <v>240</v>
      </c>
      <c r="I421" s="37">
        <v>1990</v>
      </c>
      <c r="J421" s="36" t="s">
        <v>39</v>
      </c>
      <c r="K421" s="34" t="s">
        <v>91</v>
      </c>
      <c r="L421" s="75"/>
      <c r="M421" s="101">
        <v>51</v>
      </c>
      <c r="N421" s="101">
        <v>39</v>
      </c>
      <c r="O421" s="101">
        <v>38</v>
      </c>
      <c r="P421" s="105">
        <v>31</v>
      </c>
      <c r="Q421" s="105">
        <v>33</v>
      </c>
      <c r="R421" s="105">
        <v>44</v>
      </c>
    </row>
    <row r="422" spans="1:18" ht="15.75">
      <c r="A422" s="33">
        <v>420</v>
      </c>
      <c r="B422" s="16" t="s">
        <v>453</v>
      </c>
      <c r="C422" s="34" t="s">
        <v>353</v>
      </c>
      <c r="D422" t="str">
        <f>"9200134"</f>
        <v>9200134</v>
      </c>
      <c r="E422" s="34" t="s">
        <v>468</v>
      </c>
      <c r="F422" s="2" t="s">
        <v>27</v>
      </c>
      <c r="G422" s="76" t="s">
        <v>224</v>
      </c>
      <c r="H422" s="12" t="s">
        <v>237</v>
      </c>
      <c r="I422" s="37">
        <v>1971</v>
      </c>
      <c r="J422" s="36" t="s">
        <v>39</v>
      </c>
      <c r="K422" s="34" t="s">
        <v>139</v>
      </c>
      <c r="L422" s="75"/>
      <c r="M422" s="101">
        <v>8</v>
      </c>
      <c r="N422" s="101">
        <v>6</v>
      </c>
      <c r="O422" s="101">
        <v>3</v>
      </c>
      <c r="P422" s="105">
        <v>6</v>
      </c>
      <c r="Q422" s="105">
        <v>6</v>
      </c>
      <c r="R422" s="105">
        <v>9</v>
      </c>
    </row>
    <row r="423" spans="1:18" ht="15.75">
      <c r="A423" s="33">
        <v>421</v>
      </c>
      <c r="B423" s="16" t="s">
        <v>453</v>
      </c>
      <c r="C423" s="34" t="s">
        <v>363</v>
      </c>
      <c r="D423" t="str">
        <f>"9200151"</f>
        <v>9200151</v>
      </c>
      <c r="E423" s="34" t="s">
        <v>468</v>
      </c>
      <c r="F423" s="2" t="s">
        <v>27</v>
      </c>
      <c r="G423" s="76" t="s">
        <v>224</v>
      </c>
      <c r="H423" s="12" t="s">
        <v>493</v>
      </c>
      <c r="I423" s="37">
        <v>1995</v>
      </c>
      <c r="J423" s="36" t="s">
        <v>40</v>
      </c>
      <c r="K423" s="34" t="s">
        <v>91</v>
      </c>
      <c r="L423" s="75"/>
      <c r="M423" s="104"/>
      <c r="N423" s="101">
        <v>6</v>
      </c>
      <c r="O423" s="101">
        <v>6</v>
      </c>
      <c r="P423" s="105">
        <v>2</v>
      </c>
      <c r="Q423" s="105">
        <v>3</v>
      </c>
      <c r="R423" s="105">
        <v>4</v>
      </c>
    </row>
    <row r="424" spans="1:18" ht="15.75">
      <c r="A424" s="33">
        <v>422</v>
      </c>
      <c r="B424" s="16" t="s">
        <v>453</v>
      </c>
      <c r="C424" s="34" t="s">
        <v>366</v>
      </c>
      <c r="D424" t="str">
        <f>"9200156"</f>
        <v>9200156</v>
      </c>
      <c r="E424" s="34" t="s">
        <v>468</v>
      </c>
      <c r="F424" s="2" t="s">
        <v>27</v>
      </c>
      <c r="G424" s="76" t="s">
        <v>224</v>
      </c>
      <c r="H424" s="12" t="s">
        <v>486</v>
      </c>
      <c r="I424" s="37">
        <v>1991</v>
      </c>
      <c r="J424" s="36" t="s">
        <v>40</v>
      </c>
      <c r="K424" s="34" t="s">
        <v>91</v>
      </c>
      <c r="L424" s="75"/>
      <c r="M424" s="101">
        <v>4</v>
      </c>
      <c r="N424" s="101">
        <v>2</v>
      </c>
      <c r="O424" s="101">
        <v>0</v>
      </c>
      <c r="P424" s="105">
        <v>4</v>
      </c>
      <c r="Q424" s="105">
        <v>2</v>
      </c>
      <c r="R424" s="105">
        <v>3</v>
      </c>
    </row>
    <row r="425" spans="1:18" ht="15.75">
      <c r="A425" s="33">
        <v>423</v>
      </c>
      <c r="B425" s="16" t="s">
        <v>453</v>
      </c>
      <c r="C425" s="34" t="s">
        <v>294</v>
      </c>
      <c r="D425" t="str">
        <f>"9200192"</f>
        <v>9200192</v>
      </c>
      <c r="E425" s="34" t="s">
        <v>468</v>
      </c>
      <c r="F425" s="2" t="s">
        <v>27</v>
      </c>
      <c r="G425" s="76" t="s">
        <v>224</v>
      </c>
      <c r="H425" s="12" t="s">
        <v>27</v>
      </c>
      <c r="I425" s="37">
        <v>1986</v>
      </c>
      <c r="J425" s="36" t="s">
        <v>40</v>
      </c>
      <c r="K425" s="34" t="s">
        <v>91</v>
      </c>
      <c r="L425" s="75"/>
      <c r="M425" s="101">
        <v>33</v>
      </c>
      <c r="N425" s="101">
        <v>37</v>
      </c>
      <c r="O425" s="101">
        <v>37</v>
      </c>
      <c r="P425" s="105">
        <v>29</v>
      </c>
      <c r="Q425" s="105">
        <v>32</v>
      </c>
      <c r="R425" s="105">
        <v>31</v>
      </c>
    </row>
    <row r="426" spans="1:18" ht="15.75">
      <c r="A426" s="33">
        <v>424</v>
      </c>
      <c r="B426" s="16" t="s">
        <v>453</v>
      </c>
      <c r="C426" s="34" t="s">
        <v>326</v>
      </c>
      <c r="D426" t="str">
        <f>"9200251"</f>
        <v>9200251</v>
      </c>
      <c r="E426" s="34" t="s">
        <v>468</v>
      </c>
      <c r="F426" s="2" t="s">
        <v>27</v>
      </c>
      <c r="G426" s="76" t="s">
        <v>224</v>
      </c>
      <c r="H426" s="12" t="s">
        <v>469</v>
      </c>
      <c r="I426" s="37">
        <v>1958</v>
      </c>
      <c r="J426" s="36" t="s">
        <v>40</v>
      </c>
      <c r="K426" s="34" t="s">
        <v>91</v>
      </c>
      <c r="L426" s="75"/>
      <c r="M426" s="101">
        <v>15</v>
      </c>
      <c r="N426" s="101">
        <v>7</v>
      </c>
      <c r="O426" s="101">
        <v>10</v>
      </c>
      <c r="P426" s="105">
        <v>9</v>
      </c>
      <c r="Q426" s="105">
        <v>6</v>
      </c>
      <c r="R426" s="105">
        <v>7</v>
      </c>
    </row>
    <row r="427" spans="1:18" ht="15.75">
      <c r="A427" s="33">
        <v>425</v>
      </c>
      <c r="B427" s="16" t="s">
        <v>453</v>
      </c>
      <c r="C427" s="34" t="s">
        <v>371</v>
      </c>
      <c r="D427" t="str">
        <f>"9200262"</f>
        <v>9200262</v>
      </c>
      <c r="E427" s="34" t="s">
        <v>468</v>
      </c>
      <c r="F427" s="2" t="s">
        <v>27</v>
      </c>
      <c r="G427" s="76" t="s">
        <v>224</v>
      </c>
      <c r="H427" s="12" t="s">
        <v>239</v>
      </c>
      <c r="I427" s="37">
        <v>1986</v>
      </c>
      <c r="J427" s="36" t="s">
        <v>40</v>
      </c>
      <c r="K427" s="34" t="s">
        <v>91</v>
      </c>
      <c r="L427" s="75"/>
      <c r="M427" s="101">
        <v>6</v>
      </c>
      <c r="N427" s="101">
        <v>13</v>
      </c>
      <c r="O427" s="101">
        <v>10</v>
      </c>
      <c r="P427" s="105">
        <v>9</v>
      </c>
      <c r="Q427" s="105">
        <v>14</v>
      </c>
      <c r="R427" s="105">
        <v>12</v>
      </c>
    </row>
    <row r="428" spans="1:18" ht="15.75">
      <c r="A428" s="33">
        <v>426</v>
      </c>
      <c r="B428" s="16" t="s">
        <v>453</v>
      </c>
      <c r="C428" s="34" t="s">
        <v>297</v>
      </c>
      <c r="D428" t="str">
        <f>"9200422"</f>
        <v>9200422</v>
      </c>
      <c r="E428" s="34" t="s">
        <v>468</v>
      </c>
      <c r="F428" s="2" t="s">
        <v>27</v>
      </c>
      <c r="G428" s="76" t="s">
        <v>224</v>
      </c>
      <c r="H428" s="12" t="s">
        <v>27</v>
      </c>
      <c r="I428" s="37">
        <v>1937</v>
      </c>
      <c r="J428" s="36" t="s">
        <v>40</v>
      </c>
      <c r="K428" s="34" t="s">
        <v>91</v>
      </c>
      <c r="L428" s="75"/>
      <c r="M428" s="101">
        <v>31</v>
      </c>
      <c r="N428" s="101">
        <v>45</v>
      </c>
      <c r="O428" s="101">
        <v>47</v>
      </c>
      <c r="P428" s="105">
        <v>38</v>
      </c>
      <c r="Q428" s="105">
        <v>34</v>
      </c>
      <c r="R428" s="105">
        <v>31</v>
      </c>
    </row>
    <row r="429" spans="1:18" ht="15.75">
      <c r="A429" s="33">
        <v>427</v>
      </c>
      <c r="B429" s="16" t="s">
        <v>453</v>
      </c>
      <c r="C429" s="34" t="s">
        <v>298</v>
      </c>
      <c r="D429" t="str">
        <f>"9200424"</f>
        <v>9200424</v>
      </c>
      <c r="E429" s="34" t="s">
        <v>468</v>
      </c>
      <c r="F429" s="2" t="s">
        <v>27</v>
      </c>
      <c r="G429" s="76" t="s">
        <v>224</v>
      </c>
      <c r="H429" s="12" t="s">
        <v>27</v>
      </c>
      <c r="I429" s="37">
        <v>1984</v>
      </c>
      <c r="J429" s="36" t="s">
        <v>39</v>
      </c>
      <c r="K429" s="34" t="s">
        <v>91</v>
      </c>
      <c r="L429" s="75"/>
      <c r="M429" s="101">
        <v>41</v>
      </c>
      <c r="N429" s="101">
        <v>41</v>
      </c>
      <c r="O429" s="101">
        <v>40</v>
      </c>
      <c r="P429" s="105">
        <v>39</v>
      </c>
      <c r="Q429" s="105">
        <v>44</v>
      </c>
      <c r="R429" s="105">
        <v>41</v>
      </c>
    </row>
    <row r="430" spans="1:18" ht="15.75">
      <c r="A430" s="33">
        <v>428</v>
      </c>
      <c r="B430" s="16" t="s">
        <v>453</v>
      </c>
      <c r="C430" s="34" t="s">
        <v>295</v>
      </c>
      <c r="D430" t="str">
        <f>"9200426"</f>
        <v>9200426</v>
      </c>
      <c r="E430" s="34" t="s">
        <v>468</v>
      </c>
      <c r="F430" s="2" t="s">
        <v>27</v>
      </c>
      <c r="G430" s="76" t="s">
        <v>224</v>
      </c>
      <c r="H430" s="12" t="s">
        <v>27</v>
      </c>
      <c r="I430" s="37">
        <v>2002</v>
      </c>
      <c r="J430" s="36" t="s">
        <v>39</v>
      </c>
      <c r="K430" s="34" t="s">
        <v>91</v>
      </c>
      <c r="L430" s="75"/>
      <c r="M430" s="101">
        <v>54</v>
      </c>
      <c r="N430" s="101">
        <v>54</v>
      </c>
      <c r="O430" s="101">
        <v>54</v>
      </c>
      <c r="P430" s="105">
        <v>53</v>
      </c>
      <c r="Q430" s="105">
        <v>55</v>
      </c>
      <c r="R430" s="105">
        <v>50</v>
      </c>
    </row>
    <row r="431" spans="1:18" ht="15.75">
      <c r="A431" s="33">
        <v>429</v>
      </c>
      <c r="B431" s="16" t="s">
        <v>453</v>
      </c>
      <c r="C431" s="34" t="s">
        <v>300</v>
      </c>
      <c r="D431" t="str">
        <f>"9200427"</f>
        <v>9200427</v>
      </c>
      <c r="E431" s="34" t="s">
        <v>468</v>
      </c>
      <c r="F431" s="2" t="s">
        <v>27</v>
      </c>
      <c r="G431" s="76" t="s">
        <v>224</v>
      </c>
      <c r="H431" s="12" t="s">
        <v>27</v>
      </c>
      <c r="I431" s="37">
        <v>1973</v>
      </c>
      <c r="J431" s="36" t="s">
        <v>39</v>
      </c>
      <c r="K431" s="34" t="s">
        <v>139</v>
      </c>
      <c r="L431" s="75"/>
      <c r="M431" s="101">
        <v>76</v>
      </c>
      <c r="N431" s="101">
        <v>76</v>
      </c>
      <c r="O431" s="101">
        <v>64</v>
      </c>
      <c r="P431" s="105">
        <v>63</v>
      </c>
      <c r="Q431" s="105">
        <v>59</v>
      </c>
      <c r="R431" s="105">
        <v>61</v>
      </c>
    </row>
    <row r="432" spans="1:18" ht="15.75">
      <c r="A432" s="33">
        <v>430</v>
      </c>
      <c r="B432" s="16" t="s">
        <v>453</v>
      </c>
      <c r="C432" s="34" t="s">
        <v>309</v>
      </c>
      <c r="D432" t="str">
        <f>"9200433"</f>
        <v>9200433</v>
      </c>
      <c r="E432" s="34" t="s">
        <v>468</v>
      </c>
      <c r="F432" s="2" t="s">
        <v>27</v>
      </c>
      <c r="G432" s="76" t="s">
        <v>224</v>
      </c>
      <c r="H432" s="12" t="s">
        <v>27</v>
      </c>
      <c r="I432" s="91"/>
      <c r="J432" s="36" t="s">
        <v>40</v>
      </c>
      <c r="K432" s="34" t="s">
        <v>91</v>
      </c>
      <c r="L432" s="75"/>
      <c r="M432" s="101">
        <v>33</v>
      </c>
      <c r="N432" s="101">
        <v>42</v>
      </c>
      <c r="O432" s="101">
        <v>36</v>
      </c>
      <c r="P432" s="105">
        <v>31</v>
      </c>
      <c r="Q432" s="105">
        <v>24</v>
      </c>
      <c r="R432" s="105">
        <v>19</v>
      </c>
    </row>
    <row r="433" spans="1:18" ht="15.75">
      <c r="A433" s="33">
        <v>431</v>
      </c>
      <c r="B433" s="16" t="s">
        <v>453</v>
      </c>
      <c r="C433" s="34" t="s">
        <v>373</v>
      </c>
      <c r="D433" t="str">
        <f>"9200453"</f>
        <v>9200453</v>
      </c>
      <c r="E433" s="34" t="s">
        <v>468</v>
      </c>
      <c r="F433" s="2" t="s">
        <v>27</v>
      </c>
      <c r="G433" s="76" t="s">
        <v>224</v>
      </c>
      <c r="H433" s="12" t="s">
        <v>495</v>
      </c>
      <c r="I433" s="37">
        <v>1967</v>
      </c>
      <c r="J433" s="36" t="s">
        <v>40</v>
      </c>
      <c r="K433" s="34" t="s">
        <v>91</v>
      </c>
      <c r="L433" s="16"/>
      <c r="M433" s="101">
        <v>23</v>
      </c>
      <c r="N433" s="101">
        <v>24</v>
      </c>
      <c r="O433" s="101">
        <v>38</v>
      </c>
      <c r="P433" s="105">
        <v>39</v>
      </c>
      <c r="Q433" s="105">
        <v>29</v>
      </c>
      <c r="R433" s="105">
        <v>33</v>
      </c>
    </row>
    <row r="434" spans="1:18" ht="15.75">
      <c r="A434" s="33">
        <v>432</v>
      </c>
      <c r="B434" s="16" t="s">
        <v>453</v>
      </c>
      <c r="C434" s="34" t="s">
        <v>327</v>
      </c>
      <c r="D434" t="str">
        <f>"9200459"</f>
        <v>9200459</v>
      </c>
      <c r="E434" s="34" t="s">
        <v>468</v>
      </c>
      <c r="F434" s="2" t="s">
        <v>27</v>
      </c>
      <c r="G434" s="76" t="s">
        <v>224</v>
      </c>
      <c r="H434" s="12" t="s">
        <v>469</v>
      </c>
      <c r="I434" s="37">
        <v>1995</v>
      </c>
      <c r="J434" s="36" t="s">
        <v>39</v>
      </c>
      <c r="K434" s="34" t="s">
        <v>91</v>
      </c>
      <c r="L434" s="75"/>
      <c r="M434" s="101">
        <v>26</v>
      </c>
      <c r="N434" s="101">
        <v>19</v>
      </c>
      <c r="O434" s="101">
        <v>14</v>
      </c>
      <c r="P434" s="105">
        <v>14</v>
      </c>
      <c r="Q434" s="105">
        <v>9</v>
      </c>
      <c r="R434" s="105">
        <v>7</v>
      </c>
    </row>
    <row r="435" spans="1:18" ht="15.75">
      <c r="A435" s="33">
        <v>433</v>
      </c>
      <c r="B435" s="16" t="s">
        <v>453</v>
      </c>
      <c r="C435" s="34" t="s">
        <v>354</v>
      </c>
      <c r="D435" t="str">
        <f>"9200460"</f>
        <v>9200460</v>
      </c>
      <c r="E435" s="34" t="s">
        <v>468</v>
      </c>
      <c r="F435" s="2" t="s">
        <v>27</v>
      </c>
      <c r="G435" s="76" t="s">
        <v>224</v>
      </c>
      <c r="H435" s="12" t="s">
        <v>483</v>
      </c>
      <c r="I435" s="37">
        <v>1958</v>
      </c>
      <c r="J435" s="36" t="s">
        <v>40</v>
      </c>
      <c r="K435" s="34" t="s">
        <v>91</v>
      </c>
      <c r="L435" s="75"/>
      <c r="M435" s="101">
        <v>24</v>
      </c>
      <c r="N435" s="101">
        <v>32</v>
      </c>
      <c r="O435" s="101">
        <v>31</v>
      </c>
      <c r="P435" s="105">
        <v>19</v>
      </c>
      <c r="Q435" s="105">
        <v>15</v>
      </c>
      <c r="R435" s="105">
        <v>15</v>
      </c>
    </row>
    <row r="436" spans="1:18" ht="15.75">
      <c r="A436" s="33">
        <v>434</v>
      </c>
      <c r="B436" s="16" t="s">
        <v>453</v>
      </c>
      <c r="C436" s="34" t="s">
        <v>376</v>
      </c>
      <c r="D436" t="str">
        <f>"9200481"</f>
        <v>9200481</v>
      </c>
      <c r="E436" s="34" t="s">
        <v>468</v>
      </c>
      <c r="F436" s="2" t="s">
        <v>27</v>
      </c>
      <c r="G436" s="76" t="s">
        <v>224</v>
      </c>
      <c r="H436" s="12" t="s">
        <v>244</v>
      </c>
      <c r="I436" s="37">
        <v>2006</v>
      </c>
      <c r="J436" s="36" t="s">
        <v>39</v>
      </c>
      <c r="K436" s="34" t="s">
        <v>91</v>
      </c>
      <c r="L436" s="16"/>
      <c r="M436" s="101">
        <v>16</v>
      </c>
      <c r="N436" s="101">
        <v>18</v>
      </c>
      <c r="O436" s="101">
        <v>13</v>
      </c>
      <c r="P436" s="105">
        <v>11</v>
      </c>
      <c r="Q436" s="105">
        <v>13</v>
      </c>
      <c r="R436" s="105">
        <v>16</v>
      </c>
    </row>
    <row r="437" spans="1:18" ht="15.75">
      <c r="A437" s="33">
        <v>435</v>
      </c>
      <c r="B437" s="16" t="s">
        <v>453</v>
      </c>
      <c r="C437" s="34" t="s">
        <v>301</v>
      </c>
      <c r="D437" t="str">
        <f>"9200482"</f>
        <v>9200482</v>
      </c>
      <c r="E437" s="34" t="s">
        <v>468</v>
      </c>
      <c r="F437" s="2" t="s">
        <v>27</v>
      </c>
      <c r="G437" s="76" t="s">
        <v>224</v>
      </c>
      <c r="H437" s="12" t="s">
        <v>27</v>
      </c>
      <c r="I437" s="37">
        <v>1979</v>
      </c>
      <c r="J437" s="36" t="s">
        <v>40</v>
      </c>
      <c r="K437" s="34" t="s">
        <v>91</v>
      </c>
      <c r="L437" s="75"/>
      <c r="M437" s="101">
        <v>9</v>
      </c>
      <c r="N437" s="101">
        <v>11</v>
      </c>
      <c r="O437" s="101">
        <v>15</v>
      </c>
      <c r="P437" s="105">
        <v>12</v>
      </c>
      <c r="Q437" s="105">
        <v>15</v>
      </c>
      <c r="R437" s="105">
        <v>19</v>
      </c>
    </row>
    <row r="438" spans="1:18" ht="15.75">
      <c r="A438" s="33">
        <v>436</v>
      </c>
      <c r="B438" s="16" t="s">
        <v>453</v>
      </c>
      <c r="C438" s="34" t="s">
        <v>322</v>
      </c>
      <c r="D438" t="str">
        <f>"9200490"</f>
        <v>9200490</v>
      </c>
      <c r="E438" s="34" t="s">
        <v>468</v>
      </c>
      <c r="F438" s="2" t="s">
        <v>27</v>
      </c>
      <c r="G438" s="76" t="s">
        <v>224</v>
      </c>
      <c r="H438" s="12" t="s">
        <v>240</v>
      </c>
      <c r="I438" s="37">
        <v>1990</v>
      </c>
      <c r="J438" s="36" t="s">
        <v>39</v>
      </c>
      <c r="K438" s="34" t="s">
        <v>91</v>
      </c>
      <c r="L438" s="75"/>
      <c r="M438" s="101">
        <v>115</v>
      </c>
      <c r="N438" s="101">
        <v>89</v>
      </c>
      <c r="O438" s="101">
        <v>107</v>
      </c>
      <c r="P438" s="105">
        <v>105</v>
      </c>
      <c r="Q438" s="105">
        <v>104</v>
      </c>
      <c r="R438" s="105">
        <v>105</v>
      </c>
    </row>
    <row r="439" spans="1:18" ht="15.75">
      <c r="A439" s="33">
        <v>437</v>
      </c>
      <c r="B439" s="16" t="s">
        <v>453</v>
      </c>
      <c r="C439" s="34" t="s">
        <v>307</v>
      </c>
      <c r="D439" t="str">
        <f>"9200492"</f>
        <v>9200492</v>
      </c>
      <c r="E439" s="34" t="s">
        <v>468</v>
      </c>
      <c r="F439" s="2" t="s">
        <v>27</v>
      </c>
      <c r="G439" s="76" t="s">
        <v>224</v>
      </c>
      <c r="H439" s="12" t="s">
        <v>27</v>
      </c>
      <c r="I439" s="37">
        <v>1998</v>
      </c>
      <c r="J439" s="36" t="s">
        <v>39</v>
      </c>
      <c r="K439" s="34" t="s">
        <v>91</v>
      </c>
      <c r="L439" s="75"/>
      <c r="M439" s="104"/>
      <c r="N439" s="101">
        <v>4</v>
      </c>
      <c r="O439" s="101">
        <v>8</v>
      </c>
      <c r="P439" s="105">
        <v>7</v>
      </c>
      <c r="Q439" s="105">
        <v>7</v>
      </c>
      <c r="R439" s="105">
        <v>5</v>
      </c>
    </row>
    <row r="440" spans="1:18" ht="15.75">
      <c r="A440" s="33">
        <v>438</v>
      </c>
      <c r="B440" s="16" t="s">
        <v>453</v>
      </c>
      <c r="C440" s="34" t="s">
        <v>308</v>
      </c>
      <c r="D440" t="str">
        <f>"9200493"</f>
        <v>9200493</v>
      </c>
      <c r="E440" s="34" t="s">
        <v>468</v>
      </c>
      <c r="F440" s="2" t="s">
        <v>27</v>
      </c>
      <c r="G440" s="76" t="s">
        <v>224</v>
      </c>
      <c r="H440" s="12" t="s">
        <v>27</v>
      </c>
      <c r="I440" s="37">
        <v>1995</v>
      </c>
      <c r="J440" s="36" t="s">
        <v>39</v>
      </c>
      <c r="K440" s="34" t="s">
        <v>91</v>
      </c>
      <c r="L440" s="75"/>
      <c r="M440" s="101">
        <v>87</v>
      </c>
      <c r="N440" s="101">
        <v>84</v>
      </c>
      <c r="O440" s="101">
        <v>78</v>
      </c>
      <c r="P440" s="105">
        <v>79</v>
      </c>
      <c r="Q440" s="105">
        <v>85</v>
      </c>
      <c r="R440" s="105">
        <v>76</v>
      </c>
    </row>
    <row r="441" spans="1:18" ht="15.75">
      <c r="A441" s="33">
        <v>439</v>
      </c>
      <c r="B441" s="16" t="s">
        <v>453</v>
      </c>
      <c r="C441" s="34" t="s">
        <v>339</v>
      </c>
      <c r="D441" t="str">
        <f>"9200514"</f>
        <v>9200514</v>
      </c>
      <c r="E441" s="34" t="s">
        <v>468</v>
      </c>
      <c r="F441" s="2" t="s">
        <v>27</v>
      </c>
      <c r="G441" s="76" t="s">
        <v>224</v>
      </c>
      <c r="H441" s="12" t="s">
        <v>492</v>
      </c>
      <c r="I441" s="37">
        <v>1992</v>
      </c>
      <c r="J441" s="36" t="s">
        <v>40</v>
      </c>
      <c r="K441" s="34" t="s">
        <v>91</v>
      </c>
      <c r="L441" s="75"/>
      <c r="M441" s="101">
        <v>5</v>
      </c>
      <c r="N441" s="101">
        <v>3</v>
      </c>
      <c r="O441" s="101">
        <v>6</v>
      </c>
      <c r="P441" s="105">
        <v>3</v>
      </c>
      <c r="Q441" s="105">
        <v>6</v>
      </c>
      <c r="R441" s="105">
        <v>4</v>
      </c>
    </row>
    <row r="442" spans="1:18" ht="15.75">
      <c r="A442" s="33">
        <v>440</v>
      </c>
      <c r="B442" s="16" t="s">
        <v>453</v>
      </c>
      <c r="C442" s="34" t="s">
        <v>316</v>
      </c>
      <c r="D442" t="str">
        <f>"9200515"</f>
        <v>9200515</v>
      </c>
      <c r="E442" s="34" t="s">
        <v>468</v>
      </c>
      <c r="F442" s="2" t="s">
        <v>27</v>
      </c>
      <c r="G442" s="76" t="s">
        <v>224</v>
      </c>
      <c r="H442" s="12" t="s">
        <v>222</v>
      </c>
      <c r="I442" s="91"/>
      <c r="J442" s="36" t="s">
        <v>39</v>
      </c>
      <c r="K442" s="34" t="s">
        <v>91</v>
      </c>
      <c r="L442" s="75"/>
      <c r="M442" s="101">
        <v>21</v>
      </c>
      <c r="N442" s="101">
        <v>25</v>
      </c>
      <c r="O442" s="101">
        <v>20</v>
      </c>
      <c r="P442" s="105">
        <v>18</v>
      </c>
      <c r="Q442" s="105">
        <v>19</v>
      </c>
      <c r="R442" s="105">
        <v>17</v>
      </c>
    </row>
    <row r="443" spans="1:18" ht="15.75">
      <c r="A443" s="33">
        <v>441</v>
      </c>
      <c r="B443" s="16" t="s">
        <v>453</v>
      </c>
      <c r="C443" s="34" t="s">
        <v>364</v>
      </c>
      <c r="D443" t="str">
        <f>"9200516"</f>
        <v>9200516</v>
      </c>
      <c r="E443" s="34" t="s">
        <v>468</v>
      </c>
      <c r="F443" s="2" t="s">
        <v>27</v>
      </c>
      <c r="G443" s="76" t="s">
        <v>224</v>
      </c>
      <c r="H443" s="12" t="s">
        <v>242</v>
      </c>
      <c r="I443" s="37">
        <v>1952</v>
      </c>
      <c r="J443" s="36" t="s">
        <v>40</v>
      </c>
      <c r="K443" s="34" t="s">
        <v>91</v>
      </c>
      <c r="L443" s="75"/>
      <c r="M443" s="101">
        <v>16</v>
      </c>
      <c r="N443" s="101">
        <v>16</v>
      </c>
      <c r="O443" s="101">
        <v>14</v>
      </c>
      <c r="P443" s="105">
        <v>13</v>
      </c>
      <c r="Q443" s="105">
        <v>9</v>
      </c>
      <c r="R443" s="105">
        <v>13</v>
      </c>
    </row>
    <row r="444" spans="1:18" ht="15.75">
      <c r="A444" s="33">
        <v>442</v>
      </c>
      <c r="B444" s="16" t="s">
        <v>453</v>
      </c>
      <c r="C444" s="34" t="s">
        <v>331</v>
      </c>
      <c r="D444" s="116" t="str">
        <f>"9200527"</f>
        <v>9200527</v>
      </c>
      <c r="E444" s="34" t="s">
        <v>468</v>
      </c>
      <c r="F444" s="2" t="s">
        <v>27</v>
      </c>
      <c r="G444" s="76" t="s">
        <v>224</v>
      </c>
      <c r="H444" s="12" t="s">
        <v>498</v>
      </c>
      <c r="I444" s="37">
        <v>1982</v>
      </c>
      <c r="J444" s="36" t="s">
        <v>40</v>
      </c>
      <c r="K444" s="34" t="s">
        <v>91</v>
      </c>
      <c r="L444" s="75"/>
      <c r="M444" s="101">
        <v>18</v>
      </c>
      <c r="N444" s="101">
        <v>22</v>
      </c>
      <c r="O444" s="101">
        <v>18</v>
      </c>
      <c r="P444" s="105">
        <v>13</v>
      </c>
      <c r="Q444" s="105">
        <v>12</v>
      </c>
      <c r="R444" s="105">
        <v>17</v>
      </c>
    </row>
    <row r="445" spans="1:18" ht="15.75">
      <c r="A445" s="33">
        <v>443</v>
      </c>
      <c r="B445" s="16" t="s">
        <v>453</v>
      </c>
      <c r="C445" s="34" t="s">
        <v>311</v>
      </c>
      <c r="D445" t="str">
        <f>"9200535"</f>
        <v>9200535</v>
      </c>
      <c r="E445" s="34" t="s">
        <v>468</v>
      </c>
      <c r="F445" s="2" t="s">
        <v>27</v>
      </c>
      <c r="G445" s="76" t="s">
        <v>224</v>
      </c>
      <c r="H445" s="12" t="s">
        <v>27</v>
      </c>
      <c r="I445" s="37">
        <v>1989</v>
      </c>
      <c r="J445" s="36" t="s">
        <v>40</v>
      </c>
      <c r="K445" s="34" t="s">
        <v>91</v>
      </c>
      <c r="L445" s="75"/>
      <c r="M445" s="101">
        <v>27</v>
      </c>
      <c r="N445" s="101">
        <v>28</v>
      </c>
      <c r="O445" s="101">
        <v>36</v>
      </c>
      <c r="P445" s="105">
        <v>29</v>
      </c>
      <c r="Q445" s="105">
        <v>33</v>
      </c>
      <c r="R445" s="105">
        <v>32</v>
      </c>
    </row>
    <row r="446" spans="1:18" ht="15.75">
      <c r="A446" s="33">
        <v>444</v>
      </c>
      <c r="B446" s="16" t="s">
        <v>453</v>
      </c>
      <c r="C446" s="34" t="s">
        <v>303</v>
      </c>
      <c r="D446" t="str">
        <f>"9200540"</f>
        <v>9200540</v>
      </c>
      <c r="E446" s="34" t="s">
        <v>468</v>
      </c>
      <c r="F446" s="2" t="s">
        <v>27</v>
      </c>
      <c r="G446" s="76" t="s">
        <v>224</v>
      </c>
      <c r="H446" s="12" t="s">
        <v>27</v>
      </c>
      <c r="I446" s="91"/>
      <c r="J446" s="36" t="s">
        <v>40</v>
      </c>
      <c r="K446" s="34" t="s">
        <v>91</v>
      </c>
      <c r="L446" s="75"/>
      <c r="M446" s="101">
        <v>117</v>
      </c>
      <c r="N446" s="101">
        <v>108</v>
      </c>
      <c r="O446" s="101">
        <v>108</v>
      </c>
      <c r="P446" s="105">
        <v>102</v>
      </c>
      <c r="Q446" s="105">
        <v>93</v>
      </c>
      <c r="R446" s="105">
        <v>92</v>
      </c>
    </row>
    <row r="447" spans="1:18" ht="15.75">
      <c r="A447" s="33">
        <v>445</v>
      </c>
      <c r="B447" s="16" t="s">
        <v>453</v>
      </c>
      <c r="C447" s="34" t="s">
        <v>304</v>
      </c>
      <c r="D447" t="str">
        <f>"9200541"</f>
        <v>9200541</v>
      </c>
      <c r="E447" s="34" t="s">
        <v>468</v>
      </c>
      <c r="F447" s="2" t="s">
        <v>27</v>
      </c>
      <c r="G447" s="76" t="s">
        <v>224</v>
      </c>
      <c r="H447" s="12" t="s">
        <v>27</v>
      </c>
      <c r="I447" s="91"/>
      <c r="J447" s="36" t="s">
        <v>40</v>
      </c>
      <c r="K447" s="34" t="s">
        <v>91</v>
      </c>
      <c r="L447" s="75"/>
      <c r="M447" s="101">
        <v>54</v>
      </c>
      <c r="N447" s="101">
        <v>62</v>
      </c>
      <c r="O447" s="101">
        <v>63</v>
      </c>
      <c r="P447" s="105">
        <v>54</v>
      </c>
      <c r="Q447" s="105">
        <v>57</v>
      </c>
      <c r="R447" s="105">
        <v>45</v>
      </c>
    </row>
    <row r="448" spans="1:18" ht="15.75">
      <c r="A448" s="33">
        <v>446</v>
      </c>
      <c r="B448" s="16" t="s">
        <v>453</v>
      </c>
      <c r="C448" s="34" t="s">
        <v>302</v>
      </c>
      <c r="D448" t="str">
        <f>"9200558"</f>
        <v>9200558</v>
      </c>
      <c r="E448" s="34" t="s">
        <v>468</v>
      </c>
      <c r="F448" s="2" t="s">
        <v>27</v>
      </c>
      <c r="G448" s="76" t="s">
        <v>224</v>
      </c>
      <c r="H448" s="12" t="s">
        <v>27</v>
      </c>
      <c r="I448" s="37">
        <v>2009</v>
      </c>
      <c r="J448" s="36" t="s">
        <v>39</v>
      </c>
      <c r="K448" s="34" t="s">
        <v>91</v>
      </c>
      <c r="L448" s="75"/>
      <c r="M448" s="101">
        <v>88</v>
      </c>
      <c r="N448" s="101">
        <v>78</v>
      </c>
      <c r="O448" s="101">
        <v>71</v>
      </c>
      <c r="P448" s="105">
        <v>77</v>
      </c>
      <c r="Q448" s="105">
        <v>64</v>
      </c>
      <c r="R448" s="105">
        <v>57</v>
      </c>
    </row>
    <row r="449" spans="1:18" ht="15.75">
      <c r="A449" s="33">
        <v>447</v>
      </c>
      <c r="B449" s="16" t="s">
        <v>453</v>
      </c>
      <c r="C449" s="34" t="s">
        <v>355</v>
      </c>
      <c r="D449" t="str">
        <f>"9200562"</f>
        <v>9200562</v>
      </c>
      <c r="E449" s="34" t="s">
        <v>468</v>
      </c>
      <c r="F449" s="2" t="s">
        <v>27</v>
      </c>
      <c r="G449" s="76" t="s">
        <v>224</v>
      </c>
      <c r="H449" s="12" t="s">
        <v>471</v>
      </c>
      <c r="I449" s="37">
        <v>2004</v>
      </c>
      <c r="J449" s="36" t="s">
        <v>40</v>
      </c>
      <c r="K449" s="34" t="s">
        <v>91</v>
      </c>
      <c r="L449" s="75"/>
      <c r="M449" s="101">
        <v>13</v>
      </c>
      <c r="N449" s="101">
        <v>14</v>
      </c>
      <c r="O449" s="101">
        <v>15</v>
      </c>
      <c r="P449" s="105">
        <v>15</v>
      </c>
      <c r="Q449" s="105">
        <v>10</v>
      </c>
      <c r="R449" s="105">
        <v>16</v>
      </c>
    </row>
    <row r="450" spans="1:18" ht="15.75">
      <c r="A450" s="33">
        <v>448</v>
      </c>
      <c r="B450" s="16" t="s">
        <v>453</v>
      </c>
      <c r="C450" s="34" t="s">
        <v>305</v>
      </c>
      <c r="D450" t="str">
        <f>"9200569"</f>
        <v>9200569</v>
      </c>
      <c r="E450" s="34" t="s">
        <v>468</v>
      </c>
      <c r="F450" s="2" t="s">
        <v>27</v>
      </c>
      <c r="G450" s="76" t="s">
        <v>224</v>
      </c>
      <c r="H450" s="12" t="s">
        <v>27</v>
      </c>
      <c r="I450" s="37">
        <v>2007</v>
      </c>
      <c r="J450" s="36" t="s">
        <v>39</v>
      </c>
      <c r="K450" s="34" t="s">
        <v>91</v>
      </c>
      <c r="L450" s="75"/>
      <c r="M450" s="101">
        <v>41</v>
      </c>
      <c r="N450" s="101">
        <v>44</v>
      </c>
      <c r="O450" s="101">
        <v>31</v>
      </c>
      <c r="P450" s="105">
        <v>31</v>
      </c>
      <c r="Q450" s="105">
        <v>30</v>
      </c>
      <c r="R450" s="105">
        <v>32</v>
      </c>
    </row>
    <row r="451" spans="1:18" ht="15.75">
      <c r="A451" s="33">
        <v>449</v>
      </c>
      <c r="B451" s="16" t="s">
        <v>453</v>
      </c>
      <c r="C451" s="34" t="s">
        <v>317</v>
      </c>
      <c r="D451" t="str">
        <f>"9200570"</f>
        <v>9200570</v>
      </c>
      <c r="E451" s="34" t="s">
        <v>468</v>
      </c>
      <c r="F451" s="2" t="s">
        <v>27</v>
      </c>
      <c r="G451" s="76" t="s">
        <v>224</v>
      </c>
      <c r="H451" s="12" t="s">
        <v>222</v>
      </c>
      <c r="I451" s="37">
        <v>1997</v>
      </c>
      <c r="J451" s="36" t="s">
        <v>39</v>
      </c>
      <c r="K451" s="34" t="s">
        <v>91</v>
      </c>
      <c r="L451" s="75"/>
      <c r="M451" s="101">
        <v>33</v>
      </c>
      <c r="N451" s="101">
        <v>38</v>
      </c>
      <c r="O451" s="101">
        <v>38</v>
      </c>
      <c r="P451" s="105">
        <v>39</v>
      </c>
      <c r="Q451" s="105">
        <v>40</v>
      </c>
      <c r="R451" s="105">
        <v>40</v>
      </c>
    </row>
    <row r="452" spans="1:18" ht="15.75">
      <c r="A452" s="33">
        <v>450</v>
      </c>
      <c r="B452" s="16" t="s">
        <v>453</v>
      </c>
      <c r="C452" s="34" t="s">
        <v>306</v>
      </c>
      <c r="D452" t="str">
        <f>"9200571"</f>
        <v>9200571</v>
      </c>
      <c r="E452" s="34" t="s">
        <v>468</v>
      </c>
      <c r="F452" s="2" t="s">
        <v>27</v>
      </c>
      <c r="G452" s="76" t="s">
        <v>224</v>
      </c>
      <c r="H452" s="12" t="s">
        <v>27</v>
      </c>
      <c r="I452" s="37">
        <v>1947</v>
      </c>
      <c r="J452" s="36" t="s">
        <v>40</v>
      </c>
      <c r="K452" s="34" t="s">
        <v>91</v>
      </c>
      <c r="L452" s="75"/>
      <c r="M452" s="101">
        <v>67</v>
      </c>
      <c r="N452" s="101">
        <v>76</v>
      </c>
      <c r="O452" s="101">
        <v>81</v>
      </c>
      <c r="P452" s="105">
        <v>69</v>
      </c>
      <c r="Q452" s="105">
        <v>64</v>
      </c>
      <c r="R452" s="105">
        <v>75</v>
      </c>
    </row>
    <row r="453" spans="1:18" ht="15.75">
      <c r="A453" s="33">
        <v>451</v>
      </c>
      <c r="B453" s="16" t="s">
        <v>453</v>
      </c>
      <c r="C453" s="34" t="s">
        <v>379</v>
      </c>
      <c r="D453" t="str">
        <f>"9200573"</f>
        <v>9200573</v>
      </c>
      <c r="E453" s="34" t="s">
        <v>468</v>
      </c>
      <c r="F453" s="2" t="s">
        <v>27</v>
      </c>
      <c r="G453" s="76" t="s">
        <v>224</v>
      </c>
      <c r="H453" s="12" t="s">
        <v>27</v>
      </c>
      <c r="I453" s="37">
        <v>2007</v>
      </c>
      <c r="J453" s="36" t="s">
        <v>39</v>
      </c>
      <c r="K453" s="34" t="s">
        <v>91</v>
      </c>
      <c r="L453" s="75"/>
      <c r="M453" s="101">
        <v>4</v>
      </c>
      <c r="N453" s="101">
        <v>4</v>
      </c>
      <c r="O453" s="101">
        <v>6</v>
      </c>
      <c r="P453" s="105">
        <v>4</v>
      </c>
      <c r="Q453" s="105">
        <v>3</v>
      </c>
      <c r="R453" s="105">
        <v>6</v>
      </c>
    </row>
    <row r="454" spans="1:18" ht="15.75">
      <c r="A454" s="33">
        <v>452</v>
      </c>
      <c r="B454" s="16" t="s">
        <v>453</v>
      </c>
      <c r="C454" s="34" t="s">
        <v>310</v>
      </c>
      <c r="D454" t="str">
        <f>"9200575"</f>
        <v>9200575</v>
      </c>
      <c r="E454" s="34" t="s">
        <v>468</v>
      </c>
      <c r="F454" s="2" t="s">
        <v>27</v>
      </c>
      <c r="G454" s="76" t="s">
        <v>224</v>
      </c>
      <c r="H454" s="12" t="s">
        <v>27</v>
      </c>
      <c r="I454" s="37">
        <v>1986</v>
      </c>
      <c r="J454" s="36" t="s">
        <v>39</v>
      </c>
      <c r="K454" s="34" t="s">
        <v>91</v>
      </c>
      <c r="L454" s="75"/>
      <c r="M454" s="101">
        <v>44</v>
      </c>
      <c r="N454" s="101">
        <v>44</v>
      </c>
      <c r="O454" s="101">
        <v>50</v>
      </c>
      <c r="P454" s="105">
        <v>56</v>
      </c>
      <c r="Q454" s="105">
        <v>52</v>
      </c>
      <c r="R454" s="105">
        <v>50</v>
      </c>
    </row>
    <row r="455" spans="1:18" ht="15.75">
      <c r="A455" s="33">
        <v>453</v>
      </c>
      <c r="B455" s="16" t="s">
        <v>453</v>
      </c>
      <c r="C455" s="34" t="s">
        <v>299</v>
      </c>
      <c r="D455" t="str">
        <f>"9200592"</f>
        <v>9200592</v>
      </c>
      <c r="E455" s="34" t="s">
        <v>468</v>
      </c>
      <c r="F455" s="2" t="s">
        <v>27</v>
      </c>
      <c r="G455" s="76" t="s">
        <v>224</v>
      </c>
      <c r="H455" s="12" t="s">
        <v>27</v>
      </c>
      <c r="I455" s="37">
        <v>2007</v>
      </c>
      <c r="J455" s="36" t="s">
        <v>40</v>
      </c>
      <c r="K455" s="34" t="s">
        <v>91</v>
      </c>
      <c r="L455" s="75"/>
      <c r="M455" s="101">
        <v>38</v>
      </c>
      <c r="N455" s="101">
        <v>37</v>
      </c>
      <c r="O455" s="101">
        <v>36</v>
      </c>
      <c r="P455" s="105">
        <v>34</v>
      </c>
      <c r="Q455" s="105">
        <v>37</v>
      </c>
      <c r="R455" s="105">
        <v>35</v>
      </c>
    </row>
    <row r="456" spans="1:18" ht="15.75">
      <c r="A456" s="33">
        <v>454</v>
      </c>
      <c r="B456" s="16" t="s">
        <v>453</v>
      </c>
      <c r="C456" s="34" t="s">
        <v>378</v>
      </c>
      <c r="D456" t="str">
        <f>"9200594"</f>
        <v>9200594</v>
      </c>
      <c r="E456" s="34" t="s">
        <v>468</v>
      </c>
      <c r="F456" s="2" t="s">
        <v>27</v>
      </c>
      <c r="G456" s="76" t="s">
        <v>224</v>
      </c>
      <c r="H456" s="12" t="s">
        <v>27</v>
      </c>
      <c r="I456" s="91"/>
      <c r="J456" s="36" t="s">
        <v>40</v>
      </c>
      <c r="K456" s="34" t="s">
        <v>91</v>
      </c>
      <c r="L456" s="75"/>
      <c r="M456" s="101">
        <v>25</v>
      </c>
      <c r="N456" s="101">
        <v>25</v>
      </c>
      <c r="O456" s="101">
        <v>25</v>
      </c>
      <c r="P456" s="105">
        <v>21</v>
      </c>
      <c r="Q456" s="105">
        <v>24</v>
      </c>
      <c r="R456" s="105">
        <v>28</v>
      </c>
    </row>
    <row r="457" spans="1:18" ht="15.75">
      <c r="A457" s="33">
        <v>455</v>
      </c>
      <c r="B457" s="16" t="s">
        <v>453</v>
      </c>
      <c r="C457" s="34" t="s">
        <v>367</v>
      </c>
      <c r="D457" t="str">
        <f>"9200598"</f>
        <v>9200598</v>
      </c>
      <c r="E457" s="34" t="s">
        <v>468</v>
      </c>
      <c r="F457" s="2" t="s">
        <v>27</v>
      </c>
      <c r="G457" s="76" t="s">
        <v>224</v>
      </c>
      <c r="H457" s="12" t="s">
        <v>494</v>
      </c>
      <c r="I457" s="37">
        <v>1936</v>
      </c>
      <c r="J457" s="36" t="s">
        <v>40</v>
      </c>
      <c r="K457" s="34" t="s">
        <v>91</v>
      </c>
      <c r="L457" s="75"/>
      <c r="M457" s="101">
        <v>12</v>
      </c>
      <c r="N457" s="101">
        <v>18</v>
      </c>
      <c r="O457" s="101">
        <v>20</v>
      </c>
      <c r="P457" s="105">
        <v>16</v>
      </c>
      <c r="Q457" s="105">
        <v>13</v>
      </c>
      <c r="R457" s="105">
        <v>16</v>
      </c>
    </row>
    <row r="458" spans="1:18" ht="15.75">
      <c r="A458" s="33">
        <v>456</v>
      </c>
      <c r="B458" s="16" t="s">
        <v>453</v>
      </c>
      <c r="C458" s="34" t="s">
        <v>314</v>
      </c>
      <c r="D458" t="str">
        <f>"9200599"</f>
        <v>9200599</v>
      </c>
      <c r="E458" s="34" t="s">
        <v>468</v>
      </c>
      <c r="F458" s="2" t="s">
        <v>27</v>
      </c>
      <c r="G458" s="76" t="s">
        <v>224</v>
      </c>
      <c r="H458" s="12" t="s">
        <v>27</v>
      </c>
      <c r="I458" s="37">
        <v>1992</v>
      </c>
      <c r="J458" s="36" t="s">
        <v>39</v>
      </c>
      <c r="K458" s="34" t="s">
        <v>91</v>
      </c>
      <c r="L458" s="75"/>
      <c r="M458" s="101">
        <v>27</v>
      </c>
      <c r="N458" s="101">
        <v>29</v>
      </c>
      <c r="O458" s="101">
        <v>23</v>
      </c>
      <c r="P458" s="105">
        <v>19</v>
      </c>
      <c r="Q458" s="105">
        <v>21</v>
      </c>
      <c r="R458" s="105">
        <v>18</v>
      </c>
    </row>
    <row r="459" spans="1:18" ht="15.75">
      <c r="A459" s="33">
        <v>457</v>
      </c>
      <c r="B459" s="16" t="s">
        <v>453</v>
      </c>
      <c r="C459" s="34" t="s">
        <v>318</v>
      </c>
      <c r="D459" t="str">
        <f>"9521219"</f>
        <v>9521219</v>
      </c>
      <c r="E459" s="34" t="s">
        <v>468</v>
      </c>
      <c r="F459" s="2" t="s">
        <v>27</v>
      </c>
      <c r="G459" s="76" t="s">
        <v>224</v>
      </c>
      <c r="H459" s="12" t="s">
        <v>222</v>
      </c>
      <c r="I459" s="37">
        <v>1980</v>
      </c>
      <c r="J459" s="36" t="s">
        <v>40</v>
      </c>
      <c r="K459" s="34" t="s">
        <v>91</v>
      </c>
      <c r="L459" s="75"/>
      <c r="M459" s="101">
        <v>50</v>
      </c>
      <c r="N459" s="101">
        <v>54</v>
      </c>
      <c r="O459" s="101">
        <v>59</v>
      </c>
      <c r="P459" s="105">
        <v>52</v>
      </c>
      <c r="Q459" s="105">
        <v>49</v>
      </c>
      <c r="R459" s="105">
        <v>47</v>
      </c>
    </row>
    <row r="460" spans="1:18" ht="15.75">
      <c r="A460" s="33">
        <v>458</v>
      </c>
      <c r="B460" s="16" t="s">
        <v>453</v>
      </c>
      <c r="C460" s="34" t="s">
        <v>312</v>
      </c>
      <c r="D460" t="str">
        <f>"9521220"</f>
        <v>9521220</v>
      </c>
      <c r="E460" s="34" t="s">
        <v>468</v>
      </c>
      <c r="F460" s="2" t="s">
        <v>27</v>
      </c>
      <c r="G460" s="76" t="s">
        <v>224</v>
      </c>
      <c r="H460" s="12" t="s">
        <v>27</v>
      </c>
      <c r="I460" s="37">
        <v>2000</v>
      </c>
      <c r="J460" s="36" t="s">
        <v>39</v>
      </c>
      <c r="K460" s="34" t="s">
        <v>91</v>
      </c>
      <c r="L460" s="75"/>
      <c r="M460" s="101">
        <v>28</v>
      </c>
      <c r="N460" s="101">
        <v>21</v>
      </c>
      <c r="O460" s="101">
        <v>13</v>
      </c>
      <c r="P460" s="105">
        <v>19</v>
      </c>
      <c r="Q460" s="105">
        <v>7</v>
      </c>
      <c r="R460" s="105">
        <v>13</v>
      </c>
    </row>
    <row r="461" spans="1:18" ht="15.75">
      <c r="A461" s="33">
        <v>459</v>
      </c>
      <c r="B461" s="16" t="s">
        <v>453</v>
      </c>
      <c r="C461" s="34" t="s">
        <v>319</v>
      </c>
      <c r="D461" t="str">
        <f>"9521533"</f>
        <v>9521533</v>
      </c>
      <c r="E461" s="34" t="s">
        <v>468</v>
      </c>
      <c r="F461" s="2" t="s">
        <v>27</v>
      </c>
      <c r="G461" s="76" t="s">
        <v>224</v>
      </c>
      <c r="H461" s="12" t="s">
        <v>222</v>
      </c>
      <c r="I461" s="37">
        <v>2007</v>
      </c>
      <c r="J461" s="36" t="s">
        <v>39</v>
      </c>
      <c r="K461" s="34" t="s">
        <v>91</v>
      </c>
      <c r="L461" s="75"/>
      <c r="M461" s="101">
        <v>110</v>
      </c>
      <c r="N461" s="101">
        <v>107</v>
      </c>
      <c r="O461" s="101">
        <v>114</v>
      </c>
      <c r="P461" s="105">
        <v>77</v>
      </c>
      <c r="Q461" s="105">
        <v>66</v>
      </c>
      <c r="R461" s="105">
        <v>78</v>
      </c>
    </row>
    <row r="462" spans="1:18" ht="15.75">
      <c r="A462" s="33">
        <v>460</v>
      </c>
      <c r="B462" s="16" t="s">
        <v>453</v>
      </c>
      <c r="C462" s="34" t="s">
        <v>313</v>
      </c>
      <c r="D462" t="str">
        <f>"9521534"</f>
        <v>9521534</v>
      </c>
      <c r="E462" s="34" t="s">
        <v>468</v>
      </c>
      <c r="F462" s="2" t="s">
        <v>27</v>
      </c>
      <c r="G462" s="76" t="s">
        <v>224</v>
      </c>
      <c r="H462" s="12" t="s">
        <v>27</v>
      </c>
      <c r="I462" s="37">
        <v>1990</v>
      </c>
      <c r="J462" s="36" t="s">
        <v>39</v>
      </c>
      <c r="K462" s="34" t="s">
        <v>91</v>
      </c>
      <c r="L462" s="75"/>
      <c r="M462" s="101">
        <v>54</v>
      </c>
      <c r="N462" s="101">
        <v>34</v>
      </c>
      <c r="O462" s="101">
        <v>37</v>
      </c>
      <c r="P462" s="105">
        <v>39</v>
      </c>
      <c r="Q462" s="105">
        <v>38</v>
      </c>
      <c r="R462" s="105">
        <v>34</v>
      </c>
    </row>
    <row r="463" spans="1:18" ht="15.75">
      <c r="A463" s="33">
        <v>461</v>
      </c>
      <c r="B463" s="16" t="s">
        <v>453</v>
      </c>
      <c r="C463" s="34" t="s">
        <v>323</v>
      </c>
      <c r="D463" t="str">
        <f>"9200294"</f>
        <v>9200294</v>
      </c>
      <c r="E463" s="34" t="s">
        <v>468</v>
      </c>
      <c r="F463" s="2" t="s">
        <v>27</v>
      </c>
      <c r="G463" s="76" t="s">
        <v>229</v>
      </c>
      <c r="H463" s="12" t="s">
        <v>229</v>
      </c>
      <c r="I463" s="37">
        <v>1994</v>
      </c>
      <c r="J463" s="36" t="s">
        <v>40</v>
      </c>
      <c r="K463" s="34" t="s">
        <v>91</v>
      </c>
      <c r="L463" s="75"/>
      <c r="M463" s="101">
        <v>38</v>
      </c>
      <c r="N463" s="101">
        <v>36</v>
      </c>
      <c r="O463" s="101">
        <v>35</v>
      </c>
      <c r="P463" s="105">
        <v>34</v>
      </c>
      <c r="Q463" s="105">
        <v>37</v>
      </c>
      <c r="R463" s="105">
        <v>36</v>
      </c>
    </row>
    <row r="464" spans="1:18" ht="15.75">
      <c r="A464" s="33">
        <v>462</v>
      </c>
      <c r="B464" s="16" t="s">
        <v>453</v>
      </c>
      <c r="C464" s="34" t="s">
        <v>324</v>
      </c>
      <c r="D464" t="str">
        <f>"9200297"</f>
        <v>9200297</v>
      </c>
      <c r="E464" s="34" t="s">
        <v>468</v>
      </c>
      <c r="F464" s="2" t="s">
        <v>27</v>
      </c>
      <c r="G464" s="76" t="s">
        <v>229</v>
      </c>
      <c r="H464" s="12" t="s">
        <v>229</v>
      </c>
      <c r="I464" s="37">
        <v>1951</v>
      </c>
      <c r="J464" s="36" t="s">
        <v>39</v>
      </c>
      <c r="K464" s="34" t="s">
        <v>91</v>
      </c>
      <c r="L464" s="75"/>
      <c r="M464" s="101">
        <v>26</v>
      </c>
      <c r="N464" s="101">
        <v>25</v>
      </c>
      <c r="O464" s="101">
        <v>29</v>
      </c>
      <c r="P464" s="105">
        <v>24</v>
      </c>
      <c r="Q464" s="105">
        <v>14</v>
      </c>
      <c r="R464" s="105">
        <v>14</v>
      </c>
    </row>
    <row r="465" spans="1:18" ht="15.75">
      <c r="A465" s="33">
        <v>463</v>
      </c>
      <c r="B465" s="16" t="s">
        <v>453</v>
      </c>
      <c r="C465" s="34" t="s">
        <v>325</v>
      </c>
      <c r="D465" t="str">
        <f>"9200299"</f>
        <v>9200299</v>
      </c>
      <c r="E465" s="34" t="s">
        <v>468</v>
      </c>
      <c r="F465" s="2" t="s">
        <v>27</v>
      </c>
      <c r="G465" s="76" t="s">
        <v>229</v>
      </c>
      <c r="H465" s="12" t="s">
        <v>229</v>
      </c>
      <c r="I465" s="37">
        <v>1950</v>
      </c>
      <c r="J465" s="36" t="s">
        <v>40</v>
      </c>
      <c r="K465" s="34" t="s">
        <v>91</v>
      </c>
      <c r="L465" s="75"/>
      <c r="M465" s="101">
        <v>37</v>
      </c>
      <c r="N465" s="101">
        <v>37</v>
      </c>
      <c r="O465" s="101">
        <v>37</v>
      </c>
      <c r="P465" s="105">
        <v>30</v>
      </c>
      <c r="Q465" s="105">
        <v>32</v>
      </c>
      <c r="R465" s="105">
        <v>32</v>
      </c>
    </row>
    <row r="466" spans="1:18" ht="15.75">
      <c r="A466" s="33">
        <v>464</v>
      </c>
      <c r="B466" s="16" t="s">
        <v>453</v>
      </c>
      <c r="C466" s="34" t="s">
        <v>341</v>
      </c>
      <c r="D466" t="str">
        <f>"9200317"</f>
        <v>9200317</v>
      </c>
      <c r="E466" s="34" t="s">
        <v>468</v>
      </c>
      <c r="F466" s="2" t="s">
        <v>27</v>
      </c>
      <c r="G466" s="76" t="s">
        <v>229</v>
      </c>
      <c r="H466" s="12" t="s">
        <v>342</v>
      </c>
      <c r="I466" s="37">
        <v>1954</v>
      </c>
      <c r="J466" s="36" t="s">
        <v>40</v>
      </c>
      <c r="K466" s="34" t="s">
        <v>91</v>
      </c>
      <c r="L466" s="75"/>
      <c r="M466" s="101">
        <v>6</v>
      </c>
      <c r="N466" s="101">
        <v>7</v>
      </c>
      <c r="O466" s="101">
        <v>14</v>
      </c>
      <c r="P466" s="105">
        <v>8</v>
      </c>
      <c r="Q466" s="105">
        <v>7</v>
      </c>
      <c r="R466" s="105">
        <v>7</v>
      </c>
    </row>
    <row r="467" spans="1:18" ht="15.75">
      <c r="A467" s="33">
        <v>465</v>
      </c>
      <c r="B467" s="16" t="s">
        <v>453</v>
      </c>
      <c r="C467" s="34" t="s">
        <v>351</v>
      </c>
      <c r="D467" t="str">
        <f>"9200524"</f>
        <v>9200524</v>
      </c>
      <c r="E467" s="34" t="s">
        <v>468</v>
      </c>
      <c r="F467" s="2" t="s">
        <v>27</v>
      </c>
      <c r="G467" s="76" t="s">
        <v>229</v>
      </c>
      <c r="H467" s="12" t="s">
        <v>229</v>
      </c>
      <c r="I467" s="37">
        <v>1986</v>
      </c>
      <c r="J467" s="36" t="s">
        <v>39</v>
      </c>
      <c r="K467" s="34" t="s">
        <v>91</v>
      </c>
      <c r="L467" s="75"/>
      <c r="M467" s="101">
        <v>4</v>
      </c>
      <c r="N467" s="101">
        <v>6</v>
      </c>
      <c r="O467" s="101">
        <v>7</v>
      </c>
      <c r="P467" s="105">
        <v>5</v>
      </c>
      <c r="Q467" s="105">
        <v>6</v>
      </c>
      <c r="R467" s="105">
        <v>2</v>
      </c>
    </row>
    <row r="468" spans="1:18" ht="15.75">
      <c r="A468" s="33">
        <v>466</v>
      </c>
      <c r="B468" s="16" t="s">
        <v>453</v>
      </c>
      <c r="C468" s="34" t="s">
        <v>358</v>
      </c>
      <c r="D468" t="str">
        <f>"9200086"</f>
        <v>9200086</v>
      </c>
      <c r="E468" s="34" t="s">
        <v>468</v>
      </c>
      <c r="F468" s="2" t="s">
        <v>27</v>
      </c>
      <c r="G468" s="76" t="s">
        <v>227</v>
      </c>
      <c r="H468" s="12" t="s">
        <v>227</v>
      </c>
      <c r="I468" s="37">
        <v>1991</v>
      </c>
      <c r="J468" s="36" t="s">
        <v>40</v>
      </c>
      <c r="K468" s="34" t="s">
        <v>91</v>
      </c>
      <c r="L468" s="75"/>
      <c r="M468" s="101">
        <v>15</v>
      </c>
      <c r="N468" s="101">
        <v>14</v>
      </c>
      <c r="O468" s="101">
        <v>21</v>
      </c>
      <c r="P468" s="105">
        <v>3</v>
      </c>
      <c r="Q468" s="105">
        <v>13</v>
      </c>
      <c r="R468" s="105">
        <v>14</v>
      </c>
    </row>
    <row r="469" spans="1:18" ht="15.75">
      <c r="A469" s="33">
        <v>467</v>
      </c>
      <c r="B469" s="16" t="s">
        <v>453</v>
      </c>
      <c r="C469" s="34" t="s">
        <v>333</v>
      </c>
      <c r="D469" t="str">
        <f>"9200089"</f>
        <v>9200089</v>
      </c>
      <c r="E469" s="34" t="s">
        <v>468</v>
      </c>
      <c r="F469" s="2" t="s">
        <v>27</v>
      </c>
      <c r="G469" s="76" t="s">
        <v>227</v>
      </c>
      <c r="H469" s="12" t="s">
        <v>472</v>
      </c>
      <c r="I469" s="37">
        <v>1994</v>
      </c>
      <c r="J469" s="36" t="s">
        <v>39</v>
      </c>
      <c r="K469" s="34" t="s">
        <v>91</v>
      </c>
      <c r="L469" s="75"/>
      <c r="M469" s="101">
        <v>11</v>
      </c>
      <c r="N469" s="101">
        <v>8</v>
      </c>
      <c r="O469" s="101">
        <v>9</v>
      </c>
      <c r="P469" s="105">
        <v>13</v>
      </c>
      <c r="Q469" s="105">
        <v>8</v>
      </c>
      <c r="R469" s="105">
        <v>4</v>
      </c>
    </row>
    <row r="470" spans="1:18" ht="15.75">
      <c r="A470" s="33">
        <v>468</v>
      </c>
      <c r="B470" s="16" t="s">
        <v>453</v>
      </c>
      <c r="C470" s="34" t="s">
        <v>359</v>
      </c>
      <c r="D470" t="str">
        <f>"9200093"</f>
        <v>9200093</v>
      </c>
      <c r="E470" s="34" t="s">
        <v>468</v>
      </c>
      <c r="F470" s="2" t="s">
        <v>27</v>
      </c>
      <c r="G470" s="76" t="s">
        <v>227</v>
      </c>
      <c r="H470" s="12" t="s">
        <v>360</v>
      </c>
      <c r="I470" s="37">
        <v>1958</v>
      </c>
      <c r="J470" s="36" t="s">
        <v>40</v>
      </c>
      <c r="K470" s="34" t="s">
        <v>91</v>
      </c>
      <c r="L470" s="75"/>
      <c r="M470" s="101">
        <v>41</v>
      </c>
      <c r="N470" s="101">
        <v>33</v>
      </c>
      <c r="O470" s="101">
        <v>26</v>
      </c>
      <c r="P470" s="105">
        <v>30</v>
      </c>
      <c r="Q470" s="105">
        <v>24</v>
      </c>
      <c r="R470" s="105">
        <v>29</v>
      </c>
    </row>
    <row r="471" spans="1:18" ht="15.75">
      <c r="A471" s="33">
        <v>469</v>
      </c>
      <c r="B471" s="16" t="s">
        <v>453</v>
      </c>
      <c r="C471" s="34" t="s">
        <v>377</v>
      </c>
      <c r="D471" t="str">
        <f>"9200094"</f>
        <v>9200094</v>
      </c>
      <c r="E471" s="34" t="s">
        <v>468</v>
      </c>
      <c r="F471" s="2" t="s">
        <v>27</v>
      </c>
      <c r="G471" s="76" t="s">
        <v>227</v>
      </c>
      <c r="H471" s="12" t="s">
        <v>233</v>
      </c>
      <c r="I471" s="37">
        <v>1954</v>
      </c>
      <c r="J471" s="36" t="s">
        <v>40</v>
      </c>
      <c r="K471" s="34" t="s">
        <v>91</v>
      </c>
      <c r="L471" s="16"/>
      <c r="M471" s="101">
        <v>58</v>
      </c>
      <c r="N471" s="101">
        <v>52</v>
      </c>
      <c r="O471" s="101">
        <v>37</v>
      </c>
      <c r="P471" s="105">
        <v>37</v>
      </c>
      <c r="Q471" s="105">
        <v>42</v>
      </c>
      <c r="R471" s="105">
        <v>43</v>
      </c>
    </row>
    <row r="472" spans="1:18" ht="15.75">
      <c r="A472" s="33">
        <v>470</v>
      </c>
      <c r="B472" s="16" t="s">
        <v>453</v>
      </c>
      <c r="C472" s="34" t="s">
        <v>336</v>
      </c>
      <c r="D472" t="str">
        <f>"9200283"</f>
        <v>9200283</v>
      </c>
      <c r="E472" s="34" t="s">
        <v>468</v>
      </c>
      <c r="F472" s="2" t="s">
        <v>27</v>
      </c>
      <c r="G472" s="76" t="s">
        <v>227</v>
      </c>
      <c r="H472" s="12" t="s">
        <v>473</v>
      </c>
      <c r="I472" s="37">
        <v>1963</v>
      </c>
      <c r="J472" s="36" t="s">
        <v>40</v>
      </c>
      <c r="K472" s="34" t="s">
        <v>91</v>
      </c>
      <c r="L472" s="75"/>
      <c r="M472" s="101">
        <v>1</v>
      </c>
      <c r="N472" s="101">
        <v>1</v>
      </c>
      <c r="O472" s="104"/>
      <c r="P472" s="105">
        <v>1</v>
      </c>
      <c r="Q472" s="105">
        <v>2</v>
      </c>
      <c r="R472" s="105"/>
    </row>
    <row r="473" spans="1:18" ht="15.75">
      <c r="A473" s="33">
        <v>471</v>
      </c>
      <c r="B473" s="16" t="s">
        <v>453</v>
      </c>
      <c r="C473" s="34" t="s">
        <v>362</v>
      </c>
      <c r="D473" s="116" t="str">
        <f>"9200537"</f>
        <v>9200537</v>
      </c>
      <c r="E473" s="34" t="s">
        <v>468</v>
      </c>
      <c r="F473" s="2" t="s">
        <v>27</v>
      </c>
      <c r="G473" s="76" t="s">
        <v>227</v>
      </c>
      <c r="H473" s="12" t="s">
        <v>502</v>
      </c>
      <c r="I473" s="91"/>
      <c r="J473" s="36" t="s">
        <v>40</v>
      </c>
      <c r="K473" s="34" t="s">
        <v>91</v>
      </c>
      <c r="L473" s="75"/>
      <c r="M473" s="104"/>
      <c r="N473" s="101">
        <v>2</v>
      </c>
      <c r="O473" s="101">
        <v>2</v>
      </c>
      <c r="P473" s="105">
        <v>1</v>
      </c>
      <c r="Q473" s="105">
        <v>1</v>
      </c>
      <c r="R473" s="105">
        <v>3</v>
      </c>
    </row>
    <row r="474" spans="1:18" ht="15.75">
      <c r="A474" s="33">
        <v>472</v>
      </c>
      <c r="B474" s="16" t="s">
        <v>453</v>
      </c>
      <c r="C474" s="34" t="s">
        <v>347</v>
      </c>
      <c r="D474" t="str">
        <f>"9200291"</f>
        <v>9200291</v>
      </c>
      <c r="E474" s="34" t="s">
        <v>468</v>
      </c>
      <c r="F474" s="2" t="s">
        <v>27</v>
      </c>
      <c r="G474" s="76" t="s">
        <v>225</v>
      </c>
      <c r="H474" s="12" t="s">
        <v>348</v>
      </c>
      <c r="I474" s="37">
        <v>1982</v>
      </c>
      <c r="J474" s="36" t="s">
        <v>40</v>
      </c>
      <c r="K474" s="34" t="s">
        <v>91</v>
      </c>
      <c r="L474" s="75"/>
      <c r="M474" s="101">
        <v>1</v>
      </c>
      <c r="N474" s="101">
        <v>2</v>
      </c>
      <c r="O474" s="101">
        <v>2</v>
      </c>
      <c r="P474" s="105">
        <v>0</v>
      </c>
      <c r="Q474" s="105">
        <v>2</v>
      </c>
      <c r="R474" s="105">
        <v>2</v>
      </c>
    </row>
    <row r="475" spans="1:18" ht="15.75">
      <c r="A475" s="33">
        <v>473</v>
      </c>
      <c r="B475" s="16" t="s">
        <v>453</v>
      </c>
      <c r="C475" s="34" t="s">
        <v>370</v>
      </c>
      <c r="D475" t="str">
        <f>"9200377"</f>
        <v>9200377</v>
      </c>
      <c r="E475" s="34" t="s">
        <v>468</v>
      </c>
      <c r="F475" s="2" t="s">
        <v>27</v>
      </c>
      <c r="G475" s="76" t="s">
        <v>225</v>
      </c>
      <c r="H475" s="12" t="s">
        <v>231</v>
      </c>
      <c r="I475" s="37">
        <v>1980</v>
      </c>
      <c r="J475" s="36" t="s">
        <v>39</v>
      </c>
      <c r="K475" s="34" t="s">
        <v>91</v>
      </c>
      <c r="L475" s="75"/>
      <c r="M475" s="101">
        <v>1</v>
      </c>
      <c r="N475" s="101">
        <v>2</v>
      </c>
      <c r="O475" s="101">
        <v>3</v>
      </c>
      <c r="P475" s="105">
        <v>3</v>
      </c>
      <c r="Q475" s="105">
        <v>3</v>
      </c>
      <c r="R475" s="105">
        <v>2</v>
      </c>
    </row>
    <row r="476" spans="1:18" ht="15.75">
      <c r="A476" s="33">
        <v>474</v>
      </c>
      <c r="B476" s="16" t="s">
        <v>453</v>
      </c>
      <c r="C476" s="34" t="s">
        <v>340</v>
      </c>
      <c r="D476" t="str">
        <f>"9200387"</f>
        <v>9200387</v>
      </c>
      <c r="E476" s="34" t="s">
        <v>468</v>
      </c>
      <c r="F476" s="2" t="s">
        <v>27</v>
      </c>
      <c r="G476" s="76" t="s">
        <v>225</v>
      </c>
      <c r="H476" s="12" t="s">
        <v>235</v>
      </c>
      <c r="I476" s="37">
        <v>1991</v>
      </c>
      <c r="J476" s="36" t="s">
        <v>39</v>
      </c>
      <c r="K476" s="34" t="s">
        <v>91</v>
      </c>
      <c r="L476" s="75"/>
      <c r="M476" s="101">
        <v>7</v>
      </c>
      <c r="N476" s="101">
        <v>5</v>
      </c>
      <c r="O476" s="101">
        <v>9</v>
      </c>
      <c r="P476" s="105">
        <v>9</v>
      </c>
      <c r="Q476" s="105">
        <v>4</v>
      </c>
      <c r="R476" s="105">
        <v>5</v>
      </c>
    </row>
    <row r="477" spans="1:18" ht="15.75">
      <c r="A477" s="33">
        <v>475</v>
      </c>
      <c r="B477" s="16" t="s">
        <v>453</v>
      </c>
      <c r="C477" s="34" t="s">
        <v>350</v>
      </c>
      <c r="D477" t="str">
        <f>"9200396"</f>
        <v>9200396</v>
      </c>
      <c r="E477" s="34" t="s">
        <v>468</v>
      </c>
      <c r="F477" s="2" t="s">
        <v>27</v>
      </c>
      <c r="G477" s="76" t="s">
        <v>225</v>
      </c>
      <c r="H477" s="12" t="s">
        <v>479</v>
      </c>
      <c r="I477" s="37">
        <v>1927</v>
      </c>
      <c r="J477" s="36" t="s">
        <v>40</v>
      </c>
      <c r="K477" s="34" t="s">
        <v>91</v>
      </c>
      <c r="L477" s="75"/>
      <c r="M477" s="101">
        <v>7</v>
      </c>
      <c r="N477" s="101">
        <v>5</v>
      </c>
      <c r="O477" s="101">
        <v>8</v>
      </c>
      <c r="P477" s="105">
        <v>8</v>
      </c>
      <c r="Q477" s="105">
        <v>12</v>
      </c>
      <c r="R477" s="105">
        <v>14</v>
      </c>
    </row>
    <row r="478" spans="1:18" ht="15.75">
      <c r="A478" s="33">
        <v>476</v>
      </c>
      <c r="B478" s="16" t="s">
        <v>453</v>
      </c>
      <c r="C478" s="34" t="s">
        <v>830</v>
      </c>
      <c r="D478" t="str">
        <f>"9200020"</f>
        <v>9200020</v>
      </c>
      <c r="E478" s="34"/>
      <c r="F478" s="2"/>
      <c r="G478" s="76"/>
      <c r="H478" s="12"/>
      <c r="I478" s="37"/>
      <c r="J478" s="36"/>
      <c r="K478" s="34"/>
      <c r="L478" s="75"/>
      <c r="M478" s="101">
        <v>4</v>
      </c>
      <c r="N478" s="101">
        <v>4</v>
      </c>
      <c r="O478" s="104"/>
      <c r="P478" s="105"/>
      <c r="Q478" s="105"/>
      <c r="R478" s="105"/>
    </row>
    <row r="479" spans="1:18" ht="15.75">
      <c r="A479" s="33">
        <v>477</v>
      </c>
      <c r="B479" s="16" t="s">
        <v>658</v>
      </c>
      <c r="C479" s="87" t="s">
        <v>584</v>
      </c>
      <c r="D479" t="str">
        <f>"9400002"</f>
        <v>9400002</v>
      </c>
      <c r="E479" s="87" t="s">
        <v>467</v>
      </c>
      <c r="F479" s="16" t="s">
        <v>28</v>
      </c>
      <c r="G479" s="34" t="s">
        <v>283</v>
      </c>
      <c r="H479" s="16" t="s">
        <v>286</v>
      </c>
      <c r="I479" s="89">
        <v>2012</v>
      </c>
      <c r="J479" s="37" t="s">
        <v>139</v>
      </c>
      <c r="K479" s="87" t="s">
        <v>91</v>
      </c>
      <c r="L479" s="16"/>
      <c r="M479" s="101">
        <v>90</v>
      </c>
      <c r="N479" s="101">
        <v>91</v>
      </c>
      <c r="O479" s="101">
        <v>94</v>
      </c>
      <c r="P479" s="101">
        <v>87</v>
      </c>
      <c r="Q479" s="101">
        <v>79</v>
      </c>
      <c r="R479" s="101">
        <v>80</v>
      </c>
    </row>
    <row r="480" spans="1:18" ht="15.75">
      <c r="A480" s="33">
        <v>478</v>
      </c>
      <c r="B480" s="16" t="s">
        <v>658</v>
      </c>
      <c r="C480" s="87" t="s">
        <v>586</v>
      </c>
      <c r="D480" t="str">
        <f>"9400012"</f>
        <v>9400012</v>
      </c>
      <c r="E480" s="87" t="s">
        <v>467</v>
      </c>
      <c r="F480" s="16" t="s">
        <v>28</v>
      </c>
      <c r="G480" s="34" t="s">
        <v>283</v>
      </c>
      <c r="H480" s="16" t="s">
        <v>285</v>
      </c>
      <c r="I480" s="89">
        <v>2008</v>
      </c>
      <c r="J480" s="37" t="s">
        <v>91</v>
      </c>
      <c r="K480" s="87" t="s">
        <v>91</v>
      </c>
      <c r="L480" s="16"/>
      <c r="M480" s="101">
        <v>208</v>
      </c>
      <c r="N480" s="101">
        <v>198</v>
      </c>
      <c r="O480" s="101">
        <v>196</v>
      </c>
      <c r="P480" s="101">
        <v>184</v>
      </c>
      <c r="Q480" s="101">
        <v>176</v>
      </c>
      <c r="R480" s="101">
        <v>162</v>
      </c>
    </row>
    <row r="481" spans="1:18" ht="15.75">
      <c r="A481" s="33">
        <v>479</v>
      </c>
      <c r="B481" s="16" t="s">
        <v>658</v>
      </c>
      <c r="C481" s="87" t="s">
        <v>591</v>
      </c>
      <c r="D481" t="str">
        <f>"9400014"</f>
        <v>9400014</v>
      </c>
      <c r="E481" s="87" t="s">
        <v>467</v>
      </c>
      <c r="F481" s="16" t="s">
        <v>28</v>
      </c>
      <c r="G481" s="34" t="s">
        <v>283</v>
      </c>
      <c r="H481" s="16" t="s">
        <v>285</v>
      </c>
      <c r="I481" s="89">
        <v>2014</v>
      </c>
      <c r="J481" s="37" t="s">
        <v>139</v>
      </c>
      <c r="K481" s="87" t="s">
        <v>91</v>
      </c>
      <c r="L481" s="16"/>
      <c r="M481" s="101">
        <v>190</v>
      </c>
      <c r="N481" s="101">
        <v>183</v>
      </c>
      <c r="O481" s="101">
        <v>170</v>
      </c>
      <c r="P481" s="101">
        <v>169</v>
      </c>
      <c r="Q481" s="101">
        <v>177</v>
      </c>
      <c r="R481" s="101">
        <v>179</v>
      </c>
    </row>
    <row r="482" spans="1:18" ht="15.75">
      <c r="A482" s="33">
        <v>480</v>
      </c>
      <c r="B482" s="16" t="s">
        <v>658</v>
      </c>
      <c r="C482" s="87" t="s">
        <v>592</v>
      </c>
      <c r="D482" t="str">
        <f>"9400015"</f>
        <v>9400015</v>
      </c>
      <c r="E482" s="87" t="s">
        <v>467</v>
      </c>
      <c r="F482" s="16" t="s">
        <v>28</v>
      </c>
      <c r="G482" s="34" t="s">
        <v>283</v>
      </c>
      <c r="H482" s="16" t="s">
        <v>285</v>
      </c>
      <c r="I482" s="89">
        <v>1993</v>
      </c>
      <c r="J482" s="37" t="s">
        <v>139</v>
      </c>
      <c r="K482" s="87" t="s">
        <v>91</v>
      </c>
      <c r="L482" s="16"/>
      <c r="M482" s="101">
        <v>120</v>
      </c>
      <c r="N482" s="101">
        <v>116</v>
      </c>
      <c r="O482" s="101">
        <v>101</v>
      </c>
      <c r="P482" s="101">
        <v>101</v>
      </c>
      <c r="Q482" s="101">
        <v>91</v>
      </c>
      <c r="R482" s="101">
        <v>95</v>
      </c>
    </row>
    <row r="483" spans="1:18" ht="15.75">
      <c r="A483" s="33">
        <v>481</v>
      </c>
      <c r="B483" s="16" t="s">
        <v>658</v>
      </c>
      <c r="C483" s="87" t="s">
        <v>599</v>
      </c>
      <c r="D483" t="str">
        <f>"9400016"</f>
        <v>9400016</v>
      </c>
      <c r="E483" s="87" t="s">
        <v>467</v>
      </c>
      <c r="F483" s="16" t="s">
        <v>28</v>
      </c>
      <c r="G483" s="34" t="s">
        <v>283</v>
      </c>
      <c r="H483" s="16" t="s">
        <v>661</v>
      </c>
      <c r="I483" s="91"/>
      <c r="J483" s="90" t="s">
        <v>91</v>
      </c>
      <c r="K483" s="87" t="s">
        <v>91</v>
      </c>
      <c r="L483" s="16"/>
      <c r="M483" s="101">
        <v>21</v>
      </c>
      <c r="N483" s="101">
        <v>20</v>
      </c>
      <c r="O483" s="101">
        <v>24</v>
      </c>
      <c r="P483" s="101">
        <v>24</v>
      </c>
      <c r="Q483" s="101">
        <v>11</v>
      </c>
      <c r="R483" s="101">
        <v>13</v>
      </c>
    </row>
    <row r="484" spans="1:18" ht="15.75">
      <c r="A484" s="33">
        <v>482</v>
      </c>
      <c r="B484" s="16" t="s">
        <v>658</v>
      </c>
      <c r="C484" s="87" t="s">
        <v>609</v>
      </c>
      <c r="D484" t="str">
        <f>"9400030"</f>
        <v>9400030</v>
      </c>
      <c r="E484" s="87" t="s">
        <v>467</v>
      </c>
      <c r="F484" s="16" t="s">
        <v>28</v>
      </c>
      <c r="G484" s="34" t="s">
        <v>283</v>
      </c>
      <c r="H484" s="16" t="s">
        <v>670</v>
      </c>
      <c r="I484" s="89">
        <v>1972</v>
      </c>
      <c r="J484" s="37" t="s">
        <v>91</v>
      </c>
      <c r="K484" s="87" t="s">
        <v>91</v>
      </c>
      <c r="L484" s="16"/>
      <c r="M484" s="101">
        <v>12</v>
      </c>
      <c r="N484" s="101">
        <v>16</v>
      </c>
      <c r="O484" s="101">
        <v>16</v>
      </c>
      <c r="P484" s="101">
        <v>14</v>
      </c>
      <c r="Q484" s="101">
        <v>11</v>
      </c>
      <c r="R484" s="101">
        <v>15</v>
      </c>
    </row>
    <row r="485" spans="1:18" ht="15.75">
      <c r="A485" s="33">
        <v>483</v>
      </c>
      <c r="B485" s="16" t="s">
        <v>658</v>
      </c>
      <c r="C485" s="87" t="s">
        <v>612</v>
      </c>
      <c r="D485" t="str">
        <f>"9400040"</f>
        <v>9400040</v>
      </c>
      <c r="E485" s="87" t="s">
        <v>467</v>
      </c>
      <c r="F485" s="16" t="s">
        <v>28</v>
      </c>
      <c r="G485" s="34" t="s">
        <v>283</v>
      </c>
      <c r="H485" s="16" t="s">
        <v>673</v>
      </c>
      <c r="I485" s="89"/>
      <c r="J485" s="37" t="s">
        <v>91</v>
      </c>
      <c r="K485" s="87" t="s">
        <v>91</v>
      </c>
      <c r="L485" s="16"/>
      <c r="M485" s="101"/>
      <c r="N485" s="101"/>
      <c r="O485" s="101"/>
      <c r="P485" s="101"/>
      <c r="Q485" s="101">
        <v>14</v>
      </c>
      <c r="R485" s="101">
        <v>21</v>
      </c>
    </row>
    <row r="486" spans="1:18" ht="15.75">
      <c r="A486" s="33">
        <v>484</v>
      </c>
      <c r="B486" s="16" t="s">
        <v>658</v>
      </c>
      <c r="C486" s="87" t="s">
        <v>607</v>
      </c>
      <c r="D486" t="str">
        <f>"9400055"</f>
        <v>9400055</v>
      </c>
      <c r="E486" s="87" t="s">
        <v>467</v>
      </c>
      <c r="F486" s="16" t="s">
        <v>28</v>
      </c>
      <c r="G486" s="34" t="s">
        <v>283</v>
      </c>
      <c r="H486" s="16" t="s">
        <v>668</v>
      </c>
      <c r="I486" s="89">
        <v>1950</v>
      </c>
      <c r="J486" s="37" t="s">
        <v>91</v>
      </c>
      <c r="K486" s="87" t="s">
        <v>91</v>
      </c>
      <c r="L486" s="16"/>
      <c r="M486" s="101">
        <v>56</v>
      </c>
      <c r="N486" s="101">
        <v>60</v>
      </c>
      <c r="O486" s="101">
        <v>68</v>
      </c>
      <c r="P486" s="101">
        <v>59</v>
      </c>
      <c r="Q486" s="101">
        <v>70</v>
      </c>
      <c r="R486" s="101">
        <v>67</v>
      </c>
    </row>
    <row r="487" spans="1:18" ht="15.75">
      <c r="A487" s="33">
        <v>485</v>
      </c>
      <c r="B487" s="16" t="s">
        <v>658</v>
      </c>
      <c r="C487" s="87" t="s">
        <v>598</v>
      </c>
      <c r="D487" t="str">
        <f>"9400107"</f>
        <v>9400107</v>
      </c>
      <c r="E487" s="87" t="s">
        <v>467</v>
      </c>
      <c r="F487" s="16" t="s">
        <v>28</v>
      </c>
      <c r="G487" s="34" t="s">
        <v>284</v>
      </c>
      <c r="H487" s="16" t="s">
        <v>660</v>
      </c>
      <c r="I487" s="89">
        <v>1955</v>
      </c>
      <c r="J487" s="89" t="s">
        <v>91</v>
      </c>
      <c r="K487" s="87" t="s">
        <v>91</v>
      </c>
      <c r="L487" s="16"/>
      <c r="M487" s="101">
        <v>16</v>
      </c>
      <c r="N487" s="101">
        <v>19</v>
      </c>
      <c r="O487" s="101">
        <v>18</v>
      </c>
      <c r="P487" s="101">
        <v>17</v>
      </c>
      <c r="Q487" s="101">
        <v>19</v>
      </c>
      <c r="R487" s="101">
        <v>16</v>
      </c>
    </row>
    <row r="488" spans="1:18" ht="15.75">
      <c r="A488" s="33">
        <v>486</v>
      </c>
      <c r="B488" s="16" t="s">
        <v>658</v>
      </c>
      <c r="C488" s="87" t="s">
        <v>600</v>
      </c>
      <c r="D488" t="str">
        <f>"9400114"</f>
        <v>9400114</v>
      </c>
      <c r="E488" s="87" t="s">
        <v>467</v>
      </c>
      <c r="F488" s="16" t="s">
        <v>28</v>
      </c>
      <c r="G488" s="34" t="s">
        <v>284</v>
      </c>
      <c r="H488" s="16" t="s">
        <v>662</v>
      </c>
      <c r="I488" s="91"/>
      <c r="J488" s="91" t="s">
        <v>91</v>
      </c>
      <c r="K488" s="87" t="s">
        <v>91</v>
      </c>
      <c r="L488" s="16"/>
      <c r="M488" s="101">
        <v>16</v>
      </c>
      <c r="N488" s="101">
        <v>17</v>
      </c>
      <c r="O488" s="101">
        <v>16</v>
      </c>
      <c r="P488" s="101">
        <v>17</v>
      </c>
      <c r="Q488" s="101">
        <v>19</v>
      </c>
      <c r="R488" s="101">
        <v>24</v>
      </c>
    </row>
    <row r="489" spans="1:18" ht="15.75">
      <c r="A489" s="33">
        <v>487</v>
      </c>
      <c r="B489" s="16" t="s">
        <v>658</v>
      </c>
      <c r="C489" s="87" t="s">
        <v>601</v>
      </c>
      <c r="D489" t="str">
        <f>"9400128"</f>
        <v>9400128</v>
      </c>
      <c r="E489" s="87" t="s">
        <v>467</v>
      </c>
      <c r="F489" s="16" t="s">
        <v>28</v>
      </c>
      <c r="G489" s="34" t="s">
        <v>284</v>
      </c>
      <c r="H489" s="16" t="s">
        <v>663</v>
      </c>
      <c r="I489" s="89">
        <v>1983</v>
      </c>
      <c r="J489" s="89" t="s">
        <v>91</v>
      </c>
      <c r="K489" s="87" t="s">
        <v>91</v>
      </c>
      <c r="L489" s="16"/>
      <c r="M489" s="101">
        <v>10</v>
      </c>
      <c r="N489" s="101">
        <v>14</v>
      </c>
      <c r="O489" s="101">
        <v>13</v>
      </c>
      <c r="P489" s="101">
        <v>11</v>
      </c>
      <c r="Q489" s="101">
        <v>11</v>
      </c>
      <c r="R489" s="101">
        <v>7</v>
      </c>
    </row>
    <row r="490" spans="1:18" ht="15.75">
      <c r="A490" s="33">
        <v>488</v>
      </c>
      <c r="B490" s="16" t="s">
        <v>658</v>
      </c>
      <c r="C490" s="87" t="s">
        <v>582</v>
      </c>
      <c r="D490" t="str">
        <f>"9400143"</f>
        <v>9400143</v>
      </c>
      <c r="E490" s="87" t="s">
        <v>467</v>
      </c>
      <c r="F490" s="16" t="s">
        <v>28</v>
      </c>
      <c r="G490" s="34" t="s">
        <v>284</v>
      </c>
      <c r="H490" s="16" t="s">
        <v>287</v>
      </c>
      <c r="I490" s="89">
        <v>1983</v>
      </c>
      <c r="J490" s="37" t="s">
        <v>139</v>
      </c>
      <c r="K490" s="87" t="s">
        <v>91</v>
      </c>
      <c r="L490" s="16"/>
      <c r="M490" s="103">
        <v>2</v>
      </c>
      <c r="N490" s="103">
        <v>1</v>
      </c>
      <c r="O490" s="103">
        <v>1</v>
      </c>
      <c r="P490" s="103">
        <v>3</v>
      </c>
      <c r="Q490" s="103">
        <v>4</v>
      </c>
      <c r="R490" s="103">
        <v>1</v>
      </c>
    </row>
    <row r="491" spans="1:18" ht="15.75">
      <c r="A491" s="33">
        <v>489</v>
      </c>
      <c r="B491" s="16" t="s">
        <v>658</v>
      </c>
      <c r="C491" s="87" t="s">
        <v>604</v>
      </c>
      <c r="D491" t="str">
        <f>"9400164"</f>
        <v>9400164</v>
      </c>
      <c r="E491" s="87" t="s">
        <v>467</v>
      </c>
      <c r="F491" s="16" t="s">
        <v>28</v>
      </c>
      <c r="G491" s="34" t="s">
        <v>284</v>
      </c>
      <c r="H491" s="16" t="s">
        <v>665</v>
      </c>
      <c r="I491" s="89">
        <v>1985</v>
      </c>
      <c r="J491" s="89" t="s">
        <v>91</v>
      </c>
      <c r="K491" s="87" t="s">
        <v>91</v>
      </c>
      <c r="L491" s="16"/>
      <c r="M491" s="101">
        <v>61</v>
      </c>
      <c r="N491" s="101">
        <v>64</v>
      </c>
      <c r="O491" s="101">
        <v>61</v>
      </c>
      <c r="P491" s="101">
        <v>61</v>
      </c>
      <c r="Q491" s="101">
        <v>64</v>
      </c>
      <c r="R491" s="101">
        <v>60</v>
      </c>
    </row>
    <row r="492" spans="1:18" ht="15.75">
      <c r="A492" s="33">
        <v>490</v>
      </c>
      <c r="B492" s="16" t="s">
        <v>658</v>
      </c>
      <c r="C492" s="87" t="s">
        <v>589</v>
      </c>
      <c r="D492" t="str">
        <f>"9400214"</f>
        <v>9400214</v>
      </c>
      <c r="E492" s="87" t="s">
        <v>467</v>
      </c>
      <c r="F492" s="16" t="s">
        <v>28</v>
      </c>
      <c r="G492" s="34" t="s">
        <v>284</v>
      </c>
      <c r="H492" s="16" t="s">
        <v>287</v>
      </c>
      <c r="I492" s="89">
        <v>1990</v>
      </c>
      <c r="J492" s="89" t="s">
        <v>91</v>
      </c>
      <c r="K492" s="87" t="s">
        <v>91</v>
      </c>
      <c r="L492" s="16"/>
      <c r="M492" s="101">
        <v>74</v>
      </c>
      <c r="N492" s="101">
        <v>71</v>
      </c>
      <c r="O492" s="101">
        <v>74</v>
      </c>
      <c r="P492" s="101">
        <v>71</v>
      </c>
      <c r="Q492" s="101">
        <v>66</v>
      </c>
      <c r="R492" s="101">
        <v>73</v>
      </c>
    </row>
    <row r="493" spans="1:18" ht="15.75">
      <c r="A493" s="33">
        <v>491</v>
      </c>
      <c r="B493" s="16" t="s">
        <v>658</v>
      </c>
      <c r="C493" s="87" t="s">
        <v>583</v>
      </c>
      <c r="D493" t="str">
        <f>"9520632"</f>
        <v>9520632</v>
      </c>
      <c r="E493" s="87" t="s">
        <v>467</v>
      </c>
      <c r="F493" s="16" t="s">
        <v>28</v>
      </c>
      <c r="G493" s="34" t="s">
        <v>284</v>
      </c>
      <c r="H493" s="16" t="s">
        <v>284</v>
      </c>
      <c r="I493" s="89">
        <v>1953</v>
      </c>
      <c r="J493" s="89" t="s">
        <v>91</v>
      </c>
      <c r="K493" s="87" t="s">
        <v>91</v>
      </c>
      <c r="L493" s="16"/>
      <c r="M493" s="101">
        <v>114</v>
      </c>
      <c r="N493" s="101">
        <v>113</v>
      </c>
      <c r="O493" s="101">
        <v>120</v>
      </c>
      <c r="P493" s="101">
        <v>133</v>
      </c>
      <c r="Q493" s="101">
        <v>123</v>
      </c>
      <c r="R493" s="101">
        <v>114</v>
      </c>
    </row>
    <row r="494" spans="1:18" ht="15.75">
      <c r="A494" s="33">
        <v>492</v>
      </c>
      <c r="B494" s="16" t="s">
        <v>658</v>
      </c>
      <c r="C494" s="87" t="s">
        <v>588</v>
      </c>
      <c r="D494" t="str">
        <f>"9520633"</f>
        <v>9520633</v>
      </c>
      <c r="E494" s="87" t="s">
        <v>467</v>
      </c>
      <c r="F494" s="16" t="s">
        <v>28</v>
      </c>
      <c r="G494" s="34" t="s">
        <v>284</v>
      </c>
      <c r="H494" s="16" t="s">
        <v>284</v>
      </c>
      <c r="I494" s="89">
        <v>2003</v>
      </c>
      <c r="J494" s="37" t="s">
        <v>659</v>
      </c>
      <c r="K494" s="87" t="s">
        <v>91</v>
      </c>
      <c r="L494" s="16"/>
      <c r="M494" s="101">
        <v>13</v>
      </c>
      <c r="N494" s="101">
        <v>16</v>
      </c>
      <c r="O494" s="101">
        <v>15</v>
      </c>
      <c r="P494" s="101">
        <v>13</v>
      </c>
      <c r="Q494" s="101">
        <v>10</v>
      </c>
      <c r="R494" s="101">
        <v>12</v>
      </c>
    </row>
    <row r="495" spans="1:18" ht="15.75">
      <c r="A495" s="33">
        <v>493</v>
      </c>
      <c r="B495" s="16" t="s">
        <v>658</v>
      </c>
      <c r="C495" s="87" t="s">
        <v>585</v>
      </c>
      <c r="D495" t="str">
        <f>"9400007"</f>
        <v>9400007</v>
      </c>
      <c r="E495" s="87" t="s">
        <v>467</v>
      </c>
      <c r="F495" s="16" t="s">
        <v>28</v>
      </c>
      <c r="G495" s="34" t="s">
        <v>28</v>
      </c>
      <c r="H495" s="16" t="s">
        <v>28</v>
      </c>
      <c r="I495" s="89">
        <v>1952</v>
      </c>
      <c r="J495" s="37" t="s">
        <v>91</v>
      </c>
      <c r="K495" s="87" t="s">
        <v>91</v>
      </c>
      <c r="L495" s="16"/>
      <c r="M495" s="101">
        <v>167</v>
      </c>
      <c r="N495" s="101">
        <v>156</v>
      </c>
      <c r="O495" s="101">
        <v>148</v>
      </c>
      <c r="P495" s="101">
        <v>131</v>
      </c>
      <c r="Q495" s="101">
        <v>130</v>
      </c>
      <c r="R495" s="101">
        <v>118</v>
      </c>
    </row>
    <row r="496" spans="1:18" ht="15.75">
      <c r="A496" s="33">
        <v>494</v>
      </c>
      <c r="B496" s="16" t="s">
        <v>658</v>
      </c>
      <c r="C496" s="87" t="s">
        <v>590</v>
      </c>
      <c r="D496" t="str">
        <f>"9400009"</f>
        <v>9400009</v>
      </c>
      <c r="E496" s="87" t="s">
        <v>467</v>
      </c>
      <c r="F496" s="16" t="s">
        <v>28</v>
      </c>
      <c r="G496" s="34" t="s">
        <v>28</v>
      </c>
      <c r="H496" s="16" t="s">
        <v>28</v>
      </c>
      <c r="I496" s="89">
        <v>1963</v>
      </c>
      <c r="J496" s="37" t="s">
        <v>139</v>
      </c>
      <c r="K496" s="87" t="s">
        <v>91</v>
      </c>
      <c r="L496" s="16"/>
      <c r="M496" s="101">
        <v>106</v>
      </c>
      <c r="N496" s="101">
        <v>103</v>
      </c>
      <c r="O496" s="101">
        <v>99</v>
      </c>
      <c r="P496" s="101">
        <v>104</v>
      </c>
      <c r="Q496" s="101">
        <v>95</v>
      </c>
      <c r="R496" s="101">
        <v>86</v>
      </c>
    </row>
    <row r="497" spans="1:18" ht="15.75">
      <c r="A497" s="33">
        <v>495</v>
      </c>
      <c r="B497" s="16" t="s">
        <v>658</v>
      </c>
      <c r="C497" s="87" t="s">
        <v>603</v>
      </c>
      <c r="D497" t="str">
        <f>"9400048"</f>
        <v>9400048</v>
      </c>
      <c r="E497" s="87" t="s">
        <v>467</v>
      </c>
      <c r="F497" s="16" t="s">
        <v>28</v>
      </c>
      <c r="G497" s="34" t="s">
        <v>28</v>
      </c>
      <c r="H497" s="16" t="s">
        <v>288</v>
      </c>
      <c r="I497" s="89">
        <v>1985</v>
      </c>
      <c r="J497" s="37" t="s">
        <v>139</v>
      </c>
      <c r="K497" s="87" t="s">
        <v>91</v>
      </c>
      <c r="L497" s="16"/>
      <c r="M497" s="101">
        <v>155</v>
      </c>
      <c r="N497" s="101">
        <v>150</v>
      </c>
      <c r="O497" s="101">
        <v>138</v>
      </c>
      <c r="P497" s="101">
        <v>120</v>
      </c>
      <c r="Q497" s="101">
        <v>122</v>
      </c>
      <c r="R497" s="101">
        <v>113</v>
      </c>
    </row>
    <row r="498" spans="1:18" ht="15.75">
      <c r="A498" s="33">
        <v>496</v>
      </c>
      <c r="B498" s="16" t="s">
        <v>658</v>
      </c>
      <c r="C498" s="87" t="s">
        <v>608</v>
      </c>
      <c r="D498" t="str">
        <f>"9400061"</f>
        <v>9400061</v>
      </c>
      <c r="E498" s="87" t="s">
        <v>467</v>
      </c>
      <c r="F498" s="16" t="s">
        <v>28</v>
      </c>
      <c r="G498" s="34" t="s">
        <v>28</v>
      </c>
      <c r="H498" s="16" t="s">
        <v>669</v>
      </c>
      <c r="I498" s="89">
        <v>1950</v>
      </c>
      <c r="J498" s="37" t="s">
        <v>91</v>
      </c>
      <c r="K498" s="87" t="s">
        <v>91</v>
      </c>
      <c r="L498" s="16"/>
      <c r="M498" s="101">
        <v>81</v>
      </c>
      <c r="N498" s="101">
        <v>84</v>
      </c>
      <c r="O498" s="101">
        <v>81</v>
      </c>
      <c r="P498" s="101">
        <v>72</v>
      </c>
      <c r="Q498" s="101">
        <v>73</v>
      </c>
      <c r="R498" s="101">
        <v>67</v>
      </c>
    </row>
    <row r="499" spans="1:18" ht="15.75">
      <c r="A499" s="33">
        <v>497</v>
      </c>
      <c r="B499" s="16" t="s">
        <v>658</v>
      </c>
      <c r="C499" s="87" t="s">
        <v>594</v>
      </c>
      <c r="D499" t="str">
        <f>"9400097"</f>
        <v>9400097</v>
      </c>
      <c r="E499" s="87" t="s">
        <v>467</v>
      </c>
      <c r="F499" s="16" t="s">
        <v>28</v>
      </c>
      <c r="G499" s="34" t="s">
        <v>28</v>
      </c>
      <c r="H499" s="16" t="s">
        <v>28</v>
      </c>
      <c r="I499" s="89">
        <v>1998</v>
      </c>
      <c r="J499" s="37" t="s">
        <v>139</v>
      </c>
      <c r="K499" s="87" t="s">
        <v>91</v>
      </c>
      <c r="L499" s="16"/>
      <c r="M499" s="101">
        <v>147</v>
      </c>
      <c r="N499" s="101">
        <v>151</v>
      </c>
      <c r="O499" s="101">
        <v>143</v>
      </c>
      <c r="P499" s="101">
        <v>133</v>
      </c>
      <c r="Q499" s="101">
        <v>120</v>
      </c>
      <c r="R499" s="101">
        <v>124</v>
      </c>
    </row>
    <row r="500" spans="1:18" ht="15.75">
      <c r="A500" s="33">
        <v>498</v>
      </c>
      <c r="B500" s="16" t="s">
        <v>658</v>
      </c>
      <c r="C500" s="87" t="s">
        <v>597</v>
      </c>
      <c r="D500" t="str">
        <f>"9400099"</f>
        <v>9400099</v>
      </c>
      <c r="E500" s="87" t="s">
        <v>467</v>
      </c>
      <c r="F500" s="16" t="s">
        <v>28</v>
      </c>
      <c r="G500" s="34" t="s">
        <v>28</v>
      </c>
      <c r="H500" s="16" t="s">
        <v>28</v>
      </c>
      <c r="I500" s="91"/>
      <c r="J500" s="90" t="s">
        <v>91</v>
      </c>
      <c r="K500" s="87" t="s">
        <v>91</v>
      </c>
      <c r="L500" s="16"/>
      <c r="M500" s="101">
        <v>123</v>
      </c>
      <c r="N500" s="101">
        <v>116</v>
      </c>
      <c r="O500" s="101">
        <v>109</v>
      </c>
      <c r="P500" s="101">
        <v>115</v>
      </c>
      <c r="Q500" s="101">
        <v>104</v>
      </c>
      <c r="R500" s="101">
        <v>104</v>
      </c>
    </row>
    <row r="501" spans="1:18" ht="15.75">
      <c r="A501" s="33">
        <v>499</v>
      </c>
      <c r="B501" s="16" t="s">
        <v>658</v>
      </c>
      <c r="C501" s="87" t="s">
        <v>605</v>
      </c>
      <c r="D501" t="str">
        <f>"9400100"</f>
        <v>9400100</v>
      </c>
      <c r="E501" s="87" t="s">
        <v>467</v>
      </c>
      <c r="F501" s="16" t="s">
        <v>28</v>
      </c>
      <c r="G501" s="34" t="s">
        <v>28</v>
      </c>
      <c r="H501" s="16" t="s">
        <v>666</v>
      </c>
      <c r="I501" s="91">
        <v>1956</v>
      </c>
      <c r="J501" s="90" t="s">
        <v>91</v>
      </c>
      <c r="K501" s="87" t="s">
        <v>91</v>
      </c>
      <c r="L501" s="16"/>
      <c r="M501" s="101">
        <v>40</v>
      </c>
      <c r="N501" s="101">
        <v>44</v>
      </c>
      <c r="O501" s="101">
        <v>57</v>
      </c>
      <c r="P501" s="101">
        <v>56</v>
      </c>
      <c r="Q501" s="101">
        <v>54</v>
      </c>
      <c r="R501" s="101">
        <v>53</v>
      </c>
    </row>
    <row r="502" spans="1:18" ht="15.75">
      <c r="A502" s="33">
        <v>500</v>
      </c>
      <c r="B502" s="24" t="s">
        <v>658</v>
      </c>
      <c r="C502" s="92" t="s">
        <v>831</v>
      </c>
      <c r="D502" t="str">
        <f>"9400105"</f>
        <v>9400105</v>
      </c>
      <c r="E502" s="92" t="s">
        <v>467</v>
      </c>
      <c r="F502" s="24" t="s">
        <v>28</v>
      </c>
      <c r="G502" s="93" t="s">
        <v>28</v>
      </c>
      <c r="H502" s="24" t="s">
        <v>28</v>
      </c>
      <c r="I502" s="98">
        <v>1952</v>
      </c>
      <c r="J502" s="50" t="s">
        <v>139</v>
      </c>
      <c r="K502" s="92" t="s">
        <v>91</v>
      </c>
      <c r="L502" s="16"/>
      <c r="M502" s="101">
        <v>111</v>
      </c>
      <c r="N502" s="101">
        <v>102</v>
      </c>
      <c r="O502" s="101">
        <v>91</v>
      </c>
      <c r="P502" s="101">
        <v>76</v>
      </c>
      <c r="Q502" s="101">
        <v>84</v>
      </c>
      <c r="R502" s="101">
        <v>86</v>
      </c>
    </row>
    <row r="503" spans="1:18" ht="15.75">
      <c r="A503" s="33">
        <v>501</v>
      </c>
      <c r="B503" s="16" t="s">
        <v>658</v>
      </c>
      <c r="C503" s="87" t="s">
        <v>593</v>
      </c>
      <c r="D503" t="str">
        <f>"9400106"</f>
        <v>9400106</v>
      </c>
      <c r="E503" s="87" t="s">
        <v>467</v>
      </c>
      <c r="F503" s="16" t="s">
        <v>28</v>
      </c>
      <c r="G503" s="34" t="s">
        <v>28</v>
      </c>
      <c r="H503" s="16" t="s">
        <v>28</v>
      </c>
      <c r="I503" s="89">
        <v>2008</v>
      </c>
      <c r="J503" s="37" t="s">
        <v>139</v>
      </c>
      <c r="K503" s="87" t="s">
        <v>91</v>
      </c>
      <c r="L503" s="16"/>
      <c r="M503" s="101">
        <v>212</v>
      </c>
      <c r="N503" s="101">
        <v>208</v>
      </c>
      <c r="O503" s="101">
        <v>181</v>
      </c>
      <c r="P503" s="101">
        <v>174</v>
      </c>
      <c r="Q503" s="101">
        <v>167</v>
      </c>
      <c r="R503" s="101">
        <v>158</v>
      </c>
    </row>
    <row r="504" spans="1:18" ht="15.75">
      <c r="A504" s="33">
        <v>502</v>
      </c>
      <c r="B504" s="16" t="s">
        <v>658</v>
      </c>
      <c r="C504" s="87" t="s">
        <v>602</v>
      </c>
      <c r="D504" t="str">
        <f>"9400139"</f>
        <v>9400139</v>
      </c>
      <c r="E504" s="87" t="s">
        <v>467</v>
      </c>
      <c r="F504" s="16" t="s">
        <v>28</v>
      </c>
      <c r="G504" s="34" t="s">
        <v>28</v>
      </c>
      <c r="H504" s="16" t="s">
        <v>664</v>
      </c>
      <c r="I504" s="89">
        <v>1950</v>
      </c>
      <c r="J504" s="89" t="s">
        <v>91</v>
      </c>
      <c r="K504" s="87" t="s">
        <v>91</v>
      </c>
      <c r="L504" s="16"/>
      <c r="M504" s="101">
        <v>102</v>
      </c>
      <c r="N504" s="101">
        <v>104</v>
      </c>
      <c r="O504" s="101">
        <v>92</v>
      </c>
      <c r="P504" s="101">
        <v>89</v>
      </c>
      <c r="Q504" s="101">
        <v>81</v>
      </c>
      <c r="R504" s="101">
        <v>78</v>
      </c>
    </row>
    <row r="505" spans="1:18" ht="15.75">
      <c r="A505" s="33">
        <v>503</v>
      </c>
      <c r="B505" s="16" t="s">
        <v>658</v>
      </c>
      <c r="C505" s="87" t="s">
        <v>611</v>
      </c>
      <c r="D505" t="str">
        <f>"9400188"</f>
        <v>9400188</v>
      </c>
      <c r="E505" s="87" t="s">
        <v>467</v>
      </c>
      <c r="F505" s="16" t="s">
        <v>28</v>
      </c>
      <c r="G505" s="34" t="s">
        <v>28</v>
      </c>
      <c r="H505" s="16" t="s">
        <v>672</v>
      </c>
      <c r="I505" s="89">
        <v>1992</v>
      </c>
      <c r="J505" s="37" t="s">
        <v>91</v>
      </c>
      <c r="K505" s="87" t="s">
        <v>91</v>
      </c>
      <c r="L505" s="16"/>
      <c r="M505" s="101">
        <v>25</v>
      </c>
      <c r="N505" s="101">
        <v>16</v>
      </c>
      <c r="O505" s="101">
        <v>13</v>
      </c>
      <c r="P505" s="101">
        <v>8</v>
      </c>
      <c r="Q505" s="101">
        <v>9</v>
      </c>
      <c r="R505" s="101">
        <v>11</v>
      </c>
    </row>
    <row r="506" spans="1:18" ht="15.75">
      <c r="A506" s="33">
        <v>504</v>
      </c>
      <c r="B506" s="16" t="s">
        <v>658</v>
      </c>
      <c r="C506" s="87" t="s">
        <v>606</v>
      </c>
      <c r="D506" t="str">
        <f>"9400203"</f>
        <v>9400203</v>
      </c>
      <c r="E506" s="87" t="s">
        <v>467</v>
      </c>
      <c r="F506" s="16" t="s">
        <v>28</v>
      </c>
      <c r="G506" s="34" t="s">
        <v>28</v>
      </c>
      <c r="H506" s="16" t="s">
        <v>667</v>
      </c>
      <c r="I506" s="89">
        <v>1973</v>
      </c>
      <c r="J506" s="37" t="s">
        <v>91</v>
      </c>
      <c r="K506" s="87" t="s">
        <v>91</v>
      </c>
      <c r="L506" s="16"/>
      <c r="M506" s="101">
        <v>66</v>
      </c>
      <c r="N506" s="101">
        <v>61</v>
      </c>
      <c r="O506" s="101">
        <v>61</v>
      </c>
      <c r="P506" s="101">
        <v>60</v>
      </c>
      <c r="Q506" s="101">
        <v>66</v>
      </c>
      <c r="R506" s="101">
        <v>66</v>
      </c>
    </row>
    <row r="507" spans="1:18" ht="15.75">
      <c r="A507" s="33">
        <v>505</v>
      </c>
      <c r="B507" s="16" t="s">
        <v>658</v>
      </c>
      <c r="C507" s="87" t="s">
        <v>595</v>
      </c>
      <c r="D507" t="str">
        <f>"9400215"</f>
        <v>9400215</v>
      </c>
      <c r="E507" s="87" t="s">
        <v>467</v>
      </c>
      <c r="F507" s="16" t="s">
        <v>28</v>
      </c>
      <c r="G507" s="34" t="s">
        <v>28</v>
      </c>
      <c r="H507" s="16" t="s">
        <v>28</v>
      </c>
      <c r="I507" s="89">
        <v>1985</v>
      </c>
      <c r="J507" s="37" t="s">
        <v>139</v>
      </c>
      <c r="K507" s="87" t="s">
        <v>91</v>
      </c>
      <c r="L507" s="16"/>
      <c r="M507" s="101">
        <v>175</v>
      </c>
      <c r="N507" s="101">
        <v>172</v>
      </c>
      <c r="O507" s="101">
        <v>168</v>
      </c>
      <c r="P507" s="101">
        <v>164</v>
      </c>
      <c r="Q507" s="101">
        <v>160</v>
      </c>
      <c r="R507" s="101">
        <v>145</v>
      </c>
    </row>
    <row r="508" spans="1:18" ht="15.75">
      <c r="A508" s="33">
        <v>506</v>
      </c>
      <c r="B508" s="16" t="s">
        <v>658</v>
      </c>
      <c r="C508" s="87" t="s">
        <v>596</v>
      </c>
      <c r="D508" t="str">
        <f>"9400230"</f>
        <v>9400230</v>
      </c>
      <c r="E508" s="87" t="s">
        <v>467</v>
      </c>
      <c r="F508" s="16" t="s">
        <v>28</v>
      </c>
      <c r="G508" s="34" t="s">
        <v>28</v>
      </c>
      <c r="H508" s="16" t="s">
        <v>28</v>
      </c>
      <c r="I508" s="89">
        <v>1988</v>
      </c>
      <c r="J508" s="37" t="s">
        <v>139</v>
      </c>
      <c r="K508" s="87" t="s">
        <v>91</v>
      </c>
      <c r="L508" s="16"/>
      <c r="M508" s="101">
        <v>127</v>
      </c>
      <c r="N508" s="101">
        <v>114</v>
      </c>
      <c r="O508" s="101">
        <v>111</v>
      </c>
      <c r="P508" s="101">
        <v>102</v>
      </c>
      <c r="Q508" s="101">
        <v>102</v>
      </c>
      <c r="R508" s="101">
        <v>105</v>
      </c>
    </row>
    <row r="509" spans="1:18" ht="15.75">
      <c r="A509" s="33">
        <v>507</v>
      </c>
      <c r="B509" s="16" t="s">
        <v>658</v>
      </c>
      <c r="C509" s="87" t="s">
        <v>587</v>
      </c>
      <c r="D509" t="str">
        <f>"9400232"</f>
        <v>9400232</v>
      </c>
      <c r="E509" s="87" t="s">
        <v>467</v>
      </c>
      <c r="F509" s="16" t="s">
        <v>28</v>
      </c>
      <c r="G509" s="34" t="s">
        <v>28</v>
      </c>
      <c r="H509" s="16" t="s">
        <v>28</v>
      </c>
      <c r="I509" s="89">
        <v>1993</v>
      </c>
      <c r="J509" s="37" t="s">
        <v>139</v>
      </c>
      <c r="K509" s="87" t="s">
        <v>91</v>
      </c>
      <c r="L509" s="16"/>
      <c r="M509" s="101">
        <v>246</v>
      </c>
      <c r="N509" s="101">
        <v>219</v>
      </c>
      <c r="O509" s="101">
        <v>217</v>
      </c>
      <c r="P509" s="101">
        <v>213</v>
      </c>
      <c r="Q509" s="101">
        <v>216</v>
      </c>
      <c r="R509" s="101">
        <v>215</v>
      </c>
    </row>
    <row r="510" spans="1:18" ht="15.75">
      <c r="A510" s="33">
        <v>508</v>
      </c>
      <c r="B510" s="16" t="s">
        <v>658</v>
      </c>
      <c r="C510" s="87" t="s">
        <v>610</v>
      </c>
      <c r="D510" t="str">
        <f>"9521346"</f>
        <v>9521346</v>
      </c>
      <c r="E510" s="87" t="s">
        <v>467</v>
      </c>
      <c r="F510" s="16" t="s">
        <v>28</v>
      </c>
      <c r="G510" s="34" t="s">
        <v>28</v>
      </c>
      <c r="H510" s="16" t="s">
        <v>671</v>
      </c>
      <c r="I510" s="89">
        <v>2005</v>
      </c>
      <c r="J510" s="37" t="s">
        <v>139</v>
      </c>
      <c r="K510" s="87" t="s">
        <v>91</v>
      </c>
      <c r="L510" s="16"/>
      <c r="M510" s="101">
        <v>108</v>
      </c>
      <c r="N510" s="101">
        <v>110</v>
      </c>
      <c r="O510" s="101">
        <v>112</v>
      </c>
      <c r="P510" s="101">
        <v>105</v>
      </c>
      <c r="Q510" s="101">
        <v>104</v>
      </c>
      <c r="R510" s="101">
        <v>106</v>
      </c>
    </row>
    <row r="511" spans="1:18" ht="15.75">
      <c r="A511" s="33">
        <v>509</v>
      </c>
      <c r="B511" s="16" t="s">
        <v>658</v>
      </c>
      <c r="C511" s="87" t="s">
        <v>619</v>
      </c>
      <c r="D511" t="str">
        <f>"9400001"</f>
        <v>9400001</v>
      </c>
      <c r="E511" s="87" t="s">
        <v>468</v>
      </c>
      <c r="F511" s="16" t="s">
        <v>28</v>
      </c>
      <c r="G511" s="34" t="s">
        <v>283</v>
      </c>
      <c r="H511" s="16" t="s">
        <v>286</v>
      </c>
      <c r="I511" s="89">
        <v>1993</v>
      </c>
      <c r="J511" s="37" t="s">
        <v>139</v>
      </c>
      <c r="K511" s="87" t="s">
        <v>91</v>
      </c>
      <c r="L511" s="16"/>
      <c r="M511" s="101">
        <v>20</v>
      </c>
      <c r="N511" s="101">
        <v>20</v>
      </c>
      <c r="O511" s="101">
        <v>11</v>
      </c>
      <c r="P511" s="101">
        <v>7</v>
      </c>
      <c r="Q511" s="101">
        <v>5</v>
      </c>
      <c r="R511" s="101">
        <v>8</v>
      </c>
    </row>
    <row r="512" spans="1:18" ht="15.75">
      <c r="A512" s="33">
        <v>510</v>
      </c>
      <c r="B512" s="16" t="s">
        <v>658</v>
      </c>
      <c r="C512" s="87" t="s">
        <v>624</v>
      </c>
      <c r="D512" t="str">
        <f>"9400004"</f>
        <v>9400004</v>
      </c>
      <c r="E512" s="87" t="s">
        <v>468</v>
      </c>
      <c r="F512" s="16" t="s">
        <v>28</v>
      </c>
      <c r="G512" s="34" t="s">
        <v>283</v>
      </c>
      <c r="H512" s="16" t="s">
        <v>286</v>
      </c>
      <c r="I512" s="89">
        <v>1987</v>
      </c>
      <c r="J512" s="37" t="s">
        <v>139</v>
      </c>
      <c r="K512" s="87" t="s">
        <v>91</v>
      </c>
      <c r="L512" s="16"/>
      <c r="M512" s="101">
        <v>10</v>
      </c>
      <c r="N512" s="101">
        <v>8</v>
      </c>
      <c r="O512" s="101">
        <v>8</v>
      </c>
      <c r="P512" s="101">
        <v>14</v>
      </c>
      <c r="Q512" s="101">
        <v>14</v>
      </c>
      <c r="R512" s="101">
        <v>13</v>
      </c>
    </row>
    <row r="513" spans="1:18" ht="15.75">
      <c r="A513" s="33">
        <v>511</v>
      </c>
      <c r="B513" s="16" t="s">
        <v>658</v>
      </c>
      <c r="C513" s="87" t="s">
        <v>629</v>
      </c>
      <c r="D513" t="str">
        <f>"9400010"</f>
        <v>9400010</v>
      </c>
      <c r="E513" s="87" t="s">
        <v>468</v>
      </c>
      <c r="F513" s="16" t="s">
        <v>28</v>
      </c>
      <c r="G513" s="34" t="s">
        <v>283</v>
      </c>
      <c r="H513" s="16" t="s">
        <v>285</v>
      </c>
      <c r="I513" s="89">
        <v>2005</v>
      </c>
      <c r="J513" s="37" t="s">
        <v>139</v>
      </c>
      <c r="K513" s="87" t="s">
        <v>91</v>
      </c>
      <c r="L513" s="16"/>
      <c r="M513" s="101">
        <v>24</v>
      </c>
      <c r="N513" s="101">
        <v>29</v>
      </c>
      <c r="O513" s="101">
        <v>23</v>
      </c>
      <c r="P513" s="101">
        <v>17</v>
      </c>
      <c r="Q513" s="101">
        <v>14</v>
      </c>
      <c r="R513" s="101">
        <v>17</v>
      </c>
    </row>
    <row r="514" spans="1:18" ht="15.75">
      <c r="A514" s="33">
        <v>512</v>
      </c>
      <c r="B514" s="16" t="s">
        <v>658</v>
      </c>
      <c r="C514" s="87" t="s">
        <v>623</v>
      </c>
      <c r="D514" t="str">
        <f>"9400011"</f>
        <v>9400011</v>
      </c>
      <c r="E514" s="87" t="s">
        <v>468</v>
      </c>
      <c r="F514" s="16" t="s">
        <v>28</v>
      </c>
      <c r="G514" s="34" t="s">
        <v>283</v>
      </c>
      <c r="H514" s="16" t="s">
        <v>285</v>
      </c>
      <c r="I514" s="89">
        <v>1988</v>
      </c>
      <c r="J514" s="37" t="s">
        <v>139</v>
      </c>
      <c r="K514" s="87" t="s">
        <v>91</v>
      </c>
      <c r="L514" s="16"/>
      <c r="M514" s="101">
        <v>38</v>
      </c>
      <c r="N514" s="101">
        <v>39</v>
      </c>
      <c r="O514" s="101">
        <v>42</v>
      </c>
      <c r="P514" s="101">
        <v>42</v>
      </c>
      <c r="Q514" s="101">
        <v>38</v>
      </c>
      <c r="R514" s="101">
        <v>34</v>
      </c>
    </row>
    <row r="515" spans="1:18" ht="15.75">
      <c r="A515" s="33">
        <v>513</v>
      </c>
      <c r="B515" s="16" t="s">
        <v>658</v>
      </c>
      <c r="C515" s="87" t="s">
        <v>628</v>
      </c>
      <c r="D515" t="str">
        <f>"9400013"</f>
        <v>9400013</v>
      </c>
      <c r="E515" s="87" t="s">
        <v>468</v>
      </c>
      <c r="F515" s="16" t="s">
        <v>28</v>
      </c>
      <c r="G515" s="34" t="s">
        <v>283</v>
      </c>
      <c r="H515" s="16" t="s">
        <v>285</v>
      </c>
      <c r="I515" s="89">
        <v>1952</v>
      </c>
      <c r="J515" s="37" t="s">
        <v>91</v>
      </c>
      <c r="K515" s="87" t="s">
        <v>91</v>
      </c>
      <c r="L515" s="16"/>
      <c r="M515" s="101">
        <v>23</v>
      </c>
      <c r="N515" s="101">
        <v>31</v>
      </c>
      <c r="O515" s="101">
        <v>27</v>
      </c>
      <c r="P515" s="101">
        <v>26</v>
      </c>
      <c r="Q515" s="101">
        <v>31</v>
      </c>
      <c r="R515" s="101">
        <v>39</v>
      </c>
    </row>
    <row r="516" spans="1:18" ht="15.75">
      <c r="A516" s="33">
        <v>514</v>
      </c>
      <c r="B516" s="16" t="s">
        <v>658</v>
      </c>
      <c r="C516" s="87" t="s">
        <v>640</v>
      </c>
      <c r="D516" t="str">
        <f>"9400017"</f>
        <v>9400017</v>
      </c>
      <c r="E516" s="87" t="s">
        <v>468</v>
      </c>
      <c r="F516" s="16" t="s">
        <v>28</v>
      </c>
      <c r="G516" s="34" t="s">
        <v>283</v>
      </c>
      <c r="H516" s="16" t="s">
        <v>661</v>
      </c>
      <c r="I516" s="89">
        <v>1987</v>
      </c>
      <c r="J516" s="37" t="s">
        <v>139</v>
      </c>
      <c r="K516" s="87" t="s">
        <v>91</v>
      </c>
      <c r="L516" s="16"/>
      <c r="M516" s="101">
        <v>12</v>
      </c>
      <c r="N516" s="101">
        <v>12</v>
      </c>
      <c r="O516" s="101">
        <v>15</v>
      </c>
      <c r="P516" s="101">
        <v>22</v>
      </c>
      <c r="Q516" s="101">
        <v>8</v>
      </c>
      <c r="R516" s="101">
        <v>7</v>
      </c>
    </row>
    <row r="517" spans="1:18" ht="15.75">
      <c r="A517" s="33">
        <v>515</v>
      </c>
      <c r="B517" s="16" t="s">
        <v>658</v>
      </c>
      <c r="C517" s="87" t="s">
        <v>652</v>
      </c>
      <c r="D517" t="str">
        <f>"9400027"</f>
        <v>9400027</v>
      </c>
      <c r="E517" s="87" t="s">
        <v>468</v>
      </c>
      <c r="F517" s="16" t="s">
        <v>28</v>
      </c>
      <c r="G517" s="34" t="s">
        <v>283</v>
      </c>
      <c r="H517" s="16" t="s">
        <v>670</v>
      </c>
      <c r="I517" s="91"/>
      <c r="J517" s="90" t="s">
        <v>91</v>
      </c>
      <c r="K517" s="87" t="s">
        <v>91</v>
      </c>
      <c r="L517" s="16"/>
      <c r="M517" s="101">
        <v>7</v>
      </c>
      <c r="N517" s="101">
        <v>4</v>
      </c>
      <c r="O517" s="101">
        <v>4</v>
      </c>
      <c r="P517" s="101">
        <v>6</v>
      </c>
      <c r="Q517" s="101">
        <v>6</v>
      </c>
      <c r="R517" s="101">
        <v>6</v>
      </c>
    </row>
    <row r="518" spans="1:18" ht="15.75">
      <c r="A518" s="33">
        <v>516</v>
      </c>
      <c r="B518" s="16" t="s">
        <v>658</v>
      </c>
      <c r="C518" s="87" t="s">
        <v>649</v>
      </c>
      <c r="D518" t="str">
        <f>"9400054"</f>
        <v>9400054</v>
      </c>
      <c r="E518" s="87" t="s">
        <v>468</v>
      </c>
      <c r="F518" s="16" t="s">
        <v>28</v>
      </c>
      <c r="G518" s="34" t="s">
        <v>283</v>
      </c>
      <c r="H518" s="16" t="s">
        <v>668</v>
      </c>
      <c r="I518" s="89">
        <v>1983</v>
      </c>
      <c r="J518" s="37" t="s">
        <v>91</v>
      </c>
      <c r="K518" s="87" t="s">
        <v>91</v>
      </c>
      <c r="L518" s="16"/>
      <c r="M518" s="101">
        <v>19</v>
      </c>
      <c r="N518" s="101">
        <v>13</v>
      </c>
      <c r="O518" s="101">
        <v>11</v>
      </c>
      <c r="P518" s="101">
        <v>14</v>
      </c>
      <c r="Q518" s="101">
        <v>14</v>
      </c>
      <c r="R518" s="101">
        <v>12</v>
      </c>
    </row>
    <row r="519" spans="1:18" ht="15.75">
      <c r="A519" s="33">
        <v>517</v>
      </c>
      <c r="B519" s="16" t="s">
        <v>658</v>
      </c>
      <c r="C519" s="87" t="s">
        <v>655</v>
      </c>
      <c r="D519" t="str">
        <f>"9400076"</f>
        <v>9400076</v>
      </c>
      <c r="E519" s="87" t="s">
        <v>468</v>
      </c>
      <c r="F519" s="16" t="s">
        <v>28</v>
      </c>
      <c r="G519" s="34" t="s">
        <v>283</v>
      </c>
      <c r="H519" s="16" t="s">
        <v>680</v>
      </c>
      <c r="I519" s="91"/>
      <c r="J519" s="90" t="s">
        <v>91</v>
      </c>
      <c r="K519" s="87" t="s">
        <v>91</v>
      </c>
      <c r="L519" s="16"/>
      <c r="M519" s="101">
        <v>7</v>
      </c>
      <c r="N519" s="101">
        <v>10</v>
      </c>
      <c r="O519" s="101">
        <v>10</v>
      </c>
      <c r="P519" s="101">
        <v>6</v>
      </c>
      <c r="Q519" s="101">
        <v>9</v>
      </c>
      <c r="R519" s="101">
        <v>7</v>
      </c>
    </row>
    <row r="520" spans="1:18" ht="15.75">
      <c r="A520" s="33">
        <v>518</v>
      </c>
      <c r="B520" s="16" t="s">
        <v>658</v>
      </c>
      <c r="C520" s="87" t="s">
        <v>654</v>
      </c>
      <c r="D520" t="str">
        <f>"9400201"</f>
        <v>9400201</v>
      </c>
      <c r="E520" s="87" t="s">
        <v>468</v>
      </c>
      <c r="F520" s="16" t="s">
        <v>28</v>
      </c>
      <c r="G520" s="34" t="s">
        <v>283</v>
      </c>
      <c r="H520" s="16" t="s">
        <v>679</v>
      </c>
      <c r="I520" s="89">
        <v>1989</v>
      </c>
      <c r="J520" s="37" t="s">
        <v>139</v>
      </c>
      <c r="K520" s="87" t="s">
        <v>91</v>
      </c>
      <c r="L520" s="16"/>
      <c r="M520" s="101">
        <v>6</v>
      </c>
      <c r="N520" s="101">
        <v>5</v>
      </c>
      <c r="O520" s="101">
        <v>5</v>
      </c>
      <c r="P520" s="101">
        <v>0</v>
      </c>
      <c r="Q520" s="101"/>
      <c r="R520" s="101"/>
    </row>
    <row r="521" spans="1:18" ht="15.75">
      <c r="A521" s="33">
        <v>519</v>
      </c>
      <c r="B521" s="16" t="s">
        <v>658</v>
      </c>
      <c r="C521" s="87" t="s">
        <v>638</v>
      </c>
      <c r="D521" t="str">
        <f>"9400206"</f>
        <v>9400206</v>
      </c>
      <c r="E521" s="87" t="s">
        <v>468</v>
      </c>
      <c r="F521" s="16" t="s">
        <v>28</v>
      </c>
      <c r="G521" s="34" t="s">
        <v>283</v>
      </c>
      <c r="H521" s="16" t="s">
        <v>676</v>
      </c>
      <c r="I521" s="91"/>
      <c r="J521" s="90" t="s">
        <v>91</v>
      </c>
      <c r="K521" s="87" t="s">
        <v>91</v>
      </c>
      <c r="L521" s="16"/>
      <c r="M521" s="101">
        <v>8</v>
      </c>
      <c r="N521" s="101">
        <v>6</v>
      </c>
      <c r="O521" s="101">
        <v>6</v>
      </c>
      <c r="P521" s="101">
        <v>8</v>
      </c>
      <c r="Q521" s="101">
        <v>5</v>
      </c>
      <c r="R521" s="101">
        <v>5</v>
      </c>
    </row>
    <row r="522" spans="1:18" ht="15.75">
      <c r="A522" s="33">
        <v>520</v>
      </c>
      <c r="B522" s="16" t="s">
        <v>658</v>
      </c>
      <c r="C522" s="87" t="s">
        <v>657</v>
      </c>
      <c r="D522" t="str">
        <f>"9400210"</f>
        <v>9400210</v>
      </c>
      <c r="E522" s="87" t="s">
        <v>468</v>
      </c>
      <c r="F522" s="16" t="s">
        <v>28</v>
      </c>
      <c r="G522" s="34" t="s">
        <v>283</v>
      </c>
      <c r="H522" s="16" t="s">
        <v>673</v>
      </c>
      <c r="I522" s="89"/>
      <c r="J522" s="37" t="s">
        <v>91</v>
      </c>
      <c r="K522" s="87" t="s">
        <v>91</v>
      </c>
      <c r="L522" s="16"/>
      <c r="M522" s="104"/>
      <c r="N522" s="101"/>
      <c r="O522" s="101"/>
      <c r="P522" s="101"/>
      <c r="Q522" s="101">
        <v>16</v>
      </c>
      <c r="R522" s="101">
        <v>9</v>
      </c>
    </row>
    <row r="523" spans="1:18" ht="15.75">
      <c r="A523" s="33">
        <v>521</v>
      </c>
      <c r="B523" s="16" t="s">
        <v>658</v>
      </c>
      <c r="C523" s="87" t="s">
        <v>631</v>
      </c>
      <c r="D523" t="str">
        <f>"9400237"</f>
        <v>9400237</v>
      </c>
      <c r="E523" s="87" t="s">
        <v>468</v>
      </c>
      <c r="F523" s="16" t="s">
        <v>28</v>
      </c>
      <c r="G523" s="34" t="s">
        <v>283</v>
      </c>
      <c r="H523" s="16" t="s">
        <v>285</v>
      </c>
      <c r="I523" s="89">
        <v>1950</v>
      </c>
      <c r="J523" s="37" t="s">
        <v>91</v>
      </c>
      <c r="K523" s="87" t="s">
        <v>91</v>
      </c>
      <c r="L523" s="16"/>
      <c r="M523" s="101">
        <v>29</v>
      </c>
      <c r="N523" s="101">
        <v>35</v>
      </c>
      <c r="O523" s="101">
        <v>25</v>
      </c>
      <c r="P523" s="101">
        <v>20</v>
      </c>
      <c r="Q523" s="101">
        <v>15</v>
      </c>
      <c r="R523" s="101">
        <v>17</v>
      </c>
    </row>
    <row r="524" spans="1:18" ht="15.75">
      <c r="A524" s="33">
        <v>522</v>
      </c>
      <c r="B524" s="16" t="s">
        <v>658</v>
      </c>
      <c r="C524" s="87" t="s">
        <v>621</v>
      </c>
      <c r="D524" t="str">
        <f>"9400095"</f>
        <v>9400095</v>
      </c>
      <c r="E524" s="87" t="s">
        <v>468</v>
      </c>
      <c r="F524" s="16" t="s">
        <v>28</v>
      </c>
      <c r="G524" s="34" t="s">
        <v>284</v>
      </c>
      <c r="H524" s="16" t="s">
        <v>284</v>
      </c>
      <c r="I524" s="89">
        <v>1969</v>
      </c>
      <c r="J524" s="37" t="s">
        <v>91</v>
      </c>
      <c r="K524" s="87" t="s">
        <v>91</v>
      </c>
      <c r="L524" s="16"/>
      <c r="M524" s="101">
        <v>27</v>
      </c>
      <c r="N524" s="101">
        <v>28</v>
      </c>
      <c r="O524" s="101">
        <v>25</v>
      </c>
      <c r="P524" s="101">
        <v>23</v>
      </c>
      <c r="Q524" s="101">
        <v>34</v>
      </c>
      <c r="R524" s="101">
        <v>25</v>
      </c>
    </row>
    <row r="525" spans="1:18" ht="15.75">
      <c r="A525" s="33">
        <v>523</v>
      </c>
      <c r="B525" s="16" t="s">
        <v>658</v>
      </c>
      <c r="C525" s="87" t="s">
        <v>639</v>
      </c>
      <c r="D525" t="str">
        <f>"9400108"</f>
        <v>9400108</v>
      </c>
      <c r="E525" s="87" t="s">
        <v>468</v>
      </c>
      <c r="F525" s="16" t="s">
        <v>28</v>
      </c>
      <c r="G525" s="34" t="s">
        <v>284</v>
      </c>
      <c r="H525" s="16" t="s">
        <v>660</v>
      </c>
      <c r="I525" s="89">
        <v>1990</v>
      </c>
      <c r="J525" s="37" t="s">
        <v>139</v>
      </c>
      <c r="K525" s="87" t="s">
        <v>91</v>
      </c>
      <c r="L525" s="16"/>
      <c r="M525" s="101">
        <v>8</v>
      </c>
      <c r="N525" s="101">
        <v>5</v>
      </c>
      <c r="O525" s="101">
        <v>8</v>
      </c>
      <c r="P525" s="101">
        <v>6</v>
      </c>
      <c r="Q525" s="101">
        <v>4</v>
      </c>
      <c r="R525" s="101">
        <v>8</v>
      </c>
    </row>
    <row r="526" spans="1:18" ht="15.75">
      <c r="A526" s="33">
        <v>524</v>
      </c>
      <c r="B526" s="16" t="s">
        <v>658</v>
      </c>
      <c r="C526" s="87" t="s">
        <v>641</v>
      </c>
      <c r="D526" t="str">
        <f>"9400113"</f>
        <v>9400113</v>
      </c>
      <c r="E526" s="87" t="s">
        <v>468</v>
      </c>
      <c r="F526" s="16" t="s">
        <v>28</v>
      </c>
      <c r="G526" s="34" t="s">
        <v>284</v>
      </c>
      <c r="H526" s="16" t="s">
        <v>662</v>
      </c>
      <c r="I526" s="89">
        <v>1980</v>
      </c>
      <c r="J526" s="37" t="s">
        <v>91</v>
      </c>
      <c r="K526" s="87" t="s">
        <v>91</v>
      </c>
      <c r="L526" s="16"/>
      <c r="M526" s="101">
        <v>4</v>
      </c>
      <c r="N526" s="101">
        <v>7</v>
      </c>
      <c r="O526" s="101">
        <v>8</v>
      </c>
      <c r="P526" s="101">
        <v>9</v>
      </c>
      <c r="Q526" s="101">
        <v>9</v>
      </c>
      <c r="R526" s="101">
        <v>7</v>
      </c>
    </row>
    <row r="527" spans="1:18" ht="15.75">
      <c r="A527" s="33">
        <v>525</v>
      </c>
      <c r="B527" s="16" t="s">
        <v>658</v>
      </c>
      <c r="C527" s="87" t="s">
        <v>642</v>
      </c>
      <c r="D527" t="str">
        <f>"9400127"</f>
        <v>9400127</v>
      </c>
      <c r="E527" s="87" t="s">
        <v>468</v>
      </c>
      <c r="F527" s="16" t="s">
        <v>28</v>
      </c>
      <c r="G527" s="34" t="s">
        <v>284</v>
      </c>
      <c r="H527" s="16" t="s">
        <v>663</v>
      </c>
      <c r="I527" s="89">
        <v>1983</v>
      </c>
      <c r="J527" s="37" t="s">
        <v>91</v>
      </c>
      <c r="K527" s="87" t="s">
        <v>91</v>
      </c>
      <c r="L527" s="16"/>
      <c r="M527" s="101">
        <v>8</v>
      </c>
      <c r="N527" s="101">
        <v>7</v>
      </c>
      <c r="O527" s="101">
        <v>0</v>
      </c>
      <c r="P527" s="101"/>
      <c r="Q527" s="101"/>
      <c r="R527" s="101"/>
    </row>
    <row r="528" spans="1:18" ht="15.75">
      <c r="A528" s="33">
        <v>526</v>
      </c>
      <c r="B528" s="16" t="s">
        <v>658</v>
      </c>
      <c r="C528" s="87" t="s">
        <v>620</v>
      </c>
      <c r="D528" t="str">
        <f>"9400142"</f>
        <v>9400142</v>
      </c>
      <c r="E528" s="87" t="s">
        <v>468</v>
      </c>
      <c r="F528" s="16" t="s">
        <v>28</v>
      </c>
      <c r="G528" s="34" t="s">
        <v>284</v>
      </c>
      <c r="H528" s="16" t="s">
        <v>287</v>
      </c>
      <c r="I528" s="89">
        <v>1993</v>
      </c>
      <c r="J528" s="37" t="s">
        <v>139</v>
      </c>
      <c r="K528" s="87" t="s">
        <v>91</v>
      </c>
      <c r="L528" s="16"/>
      <c r="M528" s="101">
        <v>30</v>
      </c>
      <c r="N528" s="101">
        <v>33</v>
      </c>
      <c r="O528" s="101">
        <v>33</v>
      </c>
      <c r="P528" s="101">
        <v>21</v>
      </c>
      <c r="Q528" s="101">
        <v>23</v>
      </c>
      <c r="R528" s="101">
        <v>21</v>
      </c>
    </row>
    <row r="529" spans="1:18" ht="15.75">
      <c r="A529" s="33">
        <v>527</v>
      </c>
      <c r="B529" s="16" t="s">
        <v>658</v>
      </c>
      <c r="C529" s="87" t="s">
        <v>646</v>
      </c>
      <c r="D529" t="str">
        <f>"9400163"</f>
        <v>9400163</v>
      </c>
      <c r="E529" s="87" t="s">
        <v>468</v>
      </c>
      <c r="F529" s="16" t="s">
        <v>28</v>
      </c>
      <c r="G529" s="34" t="s">
        <v>284</v>
      </c>
      <c r="H529" s="16" t="s">
        <v>665</v>
      </c>
      <c r="I529" s="89">
        <v>1985</v>
      </c>
      <c r="J529" s="37" t="s">
        <v>91</v>
      </c>
      <c r="K529" s="87" t="s">
        <v>91</v>
      </c>
      <c r="L529" s="16"/>
      <c r="M529" s="101">
        <v>14</v>
      </c>
      <c r="N529" s="101">
        <v>13</v>
      </c>
      <c r="O529" s="101">
        <v>20</v>
      </c>
      <c r="P529" s="101">
        <v>19</v>
      </c>
      <c r="Q529" s="101">
        <v>22</v>
      </c>
      <c r="R529" s="101">
        <v>21</v>
      </c>
    </row>
    <row r="530" spans="1:18" ht="15.75">
      <c r="A530" s="33">
        <v>528</v>
      </c>
      <c r="B530" s="16" t="s">
        <v>658</v>
      </c>
      <c r="C530" s="87" t="s">
        <v>625</v>
      </c>
      <c r="D530" t="str">
        <f>"9400208"</f>
        <v>9400208</v>
      </c>
      <c r="E530" s="87" t="s">
        <v>468</v>
      </c>
      <c r="F530" s="16" t="s">
        <v>28</v>
      </c>
      <c r="G530" s="34" t="s">
        <v>284</v>
      </c>
      <c r="H530" s="16" t="s">
        <v>287</v>
      </c>
      <c r="I530" s="89">
        <v>2000</v>
      </c>
      <c r="J530" s="37" t="s">
        <v>139</v>
      </c>
      <c r="K530" s="87" t="s">
        <v>91</v>
      </c>
      <c r="L530" s="16"/>
      <c r="M530" s="101">
        <v>35</v>
      </c>
      <c r="N530" s="101">
        <v>40</v>
      </c>
      <c r="O530" s="101">
        <v>40</v>
      </c>
      <c r="P530" s="101">
        <v>30</v>
      </c>
      <c r="Q530" s="101">
        <v>31</v>
      </c>
      <c r="R530" s="101">
        <v>31</v>
      </c>
    </row>
    <row r="531" spans="1:18" ht="15.75">
      <c r="A531" s="33">
        <v>529</v>
      </c>
      <c r="B531" s="16" t="s">
        <v>658</v>
      </c>
      <c r="C531" s="87" t="s">
        <v>626</v>
      </c>
      <c r="D531" t="str">
        <f>"9520612"</f>
        <v>9520612</v>
      </c>
      <c r="E531" s="87" t="s">
        <v>468</v>
      </c>
      <c r="F531" s="16" t="s">
        <v>28</v>
      </c>
      <c r="G531" s="34" t="s">
        <v>284</v>
      </c>
      <c r="H531" s="16" t="s">
        <v>284</v>
      </c>
      <c r="I531" s="89">
        <v>2006</v>
      </c>
      <c r="J531" s="37" t="s">
        <v>139</v>
      </c>
      <c r="K531" s="87" t="s">
        <v>91</v>
      </c>
      <c r="L531" s="16"/>
      <c r="M531" s="101">
        <v>26</v>
      </c>
      <c r="N531" s="101">
        <v>25</v>
      </c>
      <c r="O531" s="101">
        <v>22</v>
      </c>
      <c r="P531" s="101">
        <v>27</v>
      </c>
      <c r="Q531" s="101">
        <v>27</v>
      </c>
      <c r="R531" s="101">
        <v>33</v>
      </c>
    </row>
    <row r="532" spans="1:18" ht="15.75">
      <c r="A532" s="33">
        <v>530</v>
      </c>
      <c r="B532" s="16" t="s">
        <v>658</v>
      </c>
      <c r="C532" s="87" t="s">
        <v>613</v>
      </c>
      <c r="D532" s="95"/>
      <c r="E532" s="87" t="s">
        <v>468</v>
      </c>
      <c r="F532" s="16" t="s">
        <v>28</v>
      </c>
      <c r="G532" s="34" t="s">
        <v>284</v>
      </c>
      <c r="H532" s="16" t="s">
        <v>674</v>
      </c>
      <c r="I532" s="89">
        <v>1984</v>
      </c>
      <c r="J532" s="89"/>
      <c r="K532" s="87" t="s">
        <v>91</v>
      </c>
      <c r="L532" s="16"/>
      <c r="M532" s="104"/>
      <c r="N532" s="104"/>
      <c r="O532" s="104"/>
      <c r="P532" s="104"/>
      <c r="Q532" s="104"/>
      <c r="R532" s="104"/>
    </row>
    <row r="533" spans="1:18" ht="15.75">
      <c r="A533" s="33">
        <v>531</v>
      </c>
      <c r="B533" s="16" t="s">
        <v>658</v>
      </c>
      <c r="C533" s="87" t="s">
        <v>622</v>
      </c>
      <c r="D533" t="str">
        <f>"9400008"</f>
        <v>9400008</v>
      </c>
      <c r="E533" s="87" t="s">
        <v>468</v>
      </c>
      <c r="F533" s="16" t="s">
        <v>28</v>
      </c>
      <c r="G533" s="34" t="s">
        <v>28</v>
      </c>
      <c r="H533" s="16" t="s">
        <v>28</v>
      </c>
      <c r="I533" s="89">
        <v>1992</v>
      </c>
      <c r="J533" s="37" t="s">
        <v>139</v>
      </c>
      <c r="K533" s="87" t="s">
        <v>91</v>
      </c>
      <c r="L533" s="16"/>
      <c r="M533" s="101">
        <v>19</v>
      </c>
      <c r="N533" s="101">
        <v>14</v>
      </c>
      <c r="O533" s="101">
        <v>12</v>
      </c>
      <c r="P533" s="101">
        <v>14</v>
      </c>
      <c r="Q533" s="101">
        <v>12</v>
      </c>
      <c r="R533" s="101">
        <v>19</v>
      </c>
    </row>
    <row r="534" spans="1:18" ht="15.75">
      <c r="A534" s="33">
        <v>532</v>
      </c>
      <c r="B534" s="16" t="s">
        <v>658</v>
      </c>
      <c r="C534" s="87" t="s">
        <v>645</v>
      </c>
      <c r="D534" t="str">
        <f>"9400047"</f>
        <v>9400047</v>
      </c>
      <c r="E534" s="87" t="s">
        <v>468</v>
      </c>
      <c r="F534" s="16" t="s">
        <v>28</v>
      </c>
      <c r="G534" s="34" t="s">
        <v>28</v>
      </c>
      <c r="H534" s="16" t="s">
        <v>288</v>
      </c>
      <c r="I534" s="89">
        <v>1985</v>
      </c>
      <c r="J534" s="37" t="s">
        <v>139</v>
      </c>
      <c r="K534" s="87" t="s">
        <v>91</v>
      </c>
      <c r="L534" s="16"/>
      <c r="M534" s="101">
        <v>40</v>
      </c>
      <c r="N534" s="101">
        <v>35</v>
      </c>
      <c r="O534" s="101">
        <v>33</v>
      </c>
      <c r="P534" s="101">
        <v>35</v>
      </c>
      <c r="Q534" s="101">
        <v>28</v>
      </c>
      <c r="R534" s="101">
        <v>20</v>
      </c>
    </row>
    <row r="535" spans="1:18" ht="15.75">
      <c r="A535" s="33">
        <v>533</v>
      </c>
      <c r="B535" s="16" t="s">
        <v>658</v>
      </c>
      <c r="C535" s="87" t="s">
        <v>650</v>
      </c>
      <c r="D535" t="str">
        <f>"9400057"</f>
        <v>9400057</v>
      </c>
      <c r="E535" s="87" t="s">
        <v>468</v>
      </c>
      <c r="F535" s="16" t="s">
        <v>28</v>
      </c>
      <c r="G535" s="34" t="s">
        <v>28</v>
      </c>
      <c r="H535" s="16" t="s">
        <v>289</v>
      </c>
      <c r="I535" s="89">
        <v>1993</v>
      </c>
      <c r="J535" s="37" t="s">
        <v>139</v>
      </c>
      <c r="K535" s="87" t="s">
        <v>91</v>
      </c>
      <c r="L535" s="16"/>
      <c r="M535" s="101">
        <v>9</v>
      </c>
      <c r="N535" s="101">
        <v>10</v>
      </c>
      <c r="O535" s="101">
        <v>7</v>
      </c>
      <c r="P535" s="101">
        <v>8</v>
      </c>
      <c r="Q535" s="101">
        <v>7</v>
      </c>
      <c r="R535" s="101">
        <v>5</v>
      </c>
    </row>
    <row r="536" spans="1:18" ht="15.75">
      <c r="A536" s="33">
        <v>534</v>
      </c>
      <c r="B536" s="16" t="s">
        <v>658</v>
      </c>
      <c r="C536" s="87" t="s">
        <v>637</v>
      </c>
      <c r="D536" t="str">
        <f>"9400058"</f>
        <v>9400058</v>
      </c>
      <c r="E536" s="87" t="s">
        <v>468</v>
      </c>
      <c r="F536" s="16" t="s">
        <v>28</v>
      </c>
      <c r="G536" s="34" t="s">
        <v>28</v>
      </c>
      <c r="H536" s="16" t="s">
        <v>675</v>
      </c>
      <c r="I536" s="89">
        <v>1984</v>
      </c>
      <c r="J536" s="37" t="s">
        <v>91</v>
      </c>
      <c r="K536" s="87" t="s">
        <v>91</v>
      </c>
      <c r="L536" s="16"/>
      <c r="M536" s="101">
        <v>11</v>
      </c>
      <c r="N536" s="101">
        <v>5</v>
      </c>
      <c r="O536" s="101">
        <v>0</v>
      </c>
      <c r="P536" s="101"/>
      <c r="Q536" s="101"/>
      <c r="R536" s="101"/>
    </row>
    <row r="537" spans="1:18" ht="15.75">
      <c r="A537" s="33">
        <v>535</v>
      </c>
      <c r="B537" s="16" t="s">
        <v>658</v>
      </c>
      <c r="C537" s="87" t="s">
        <v>651</v>
      </c>
      <c r="D537" t="str">
        <f>"9400060"</f>
        <v>9400060</v>
      </c>
      <c r="E537" s="87" t="s">
        <v>468</v>
      </c>
      <c r="F537" s="16" t="s">
        <v>28</v>
      </c>
      <c r="G537" s="34" t="s">
        <v>28</v>
      </c>
      <c r="H537" s="16" t="s">
        <v>669</v>
      </c>
      <c r="I537" s="89">
        <v>1996</v>
      </c>
      <c r="J537" s="37" t="s">
        <v>139</v>
      </c>
      <c r="K537" s="87" t="s">
        <v>91</v>
      </c>
      <c r="L537" s="16"/>
      <c r="M537" s="101">
        <v>8</v>
      </c>
      <c r="N537" s="101">
        <v>13</v>
      </c>
      <c r="O537" s="101">
        <v>13</v>
      </c>
      <c r="P537" s="101">
        <v>7</v>
      </c>
      <c r="Q537" s="101">
        <v>8</v>
      </c>
      <c r="R537" s="101">
        <v>8</v>
      </c>
    </row>
    <row r="538" spans="1:18" ht="15.75">
      <c r="A538" s="33">
        <v>536</v>
      </c>
      <c r="B538" s="16" t="s">
        <v>658</v>
      </c>
      <c r="C538" s="87" t="s">
        <v>653</v>
      </c>
      <c r="D538" t="str">
        <f>"9400086"</f>
        <v>9400086</v>
      </c>
      <c r="E538" s="87" t="s">
        <v>468</v>
      </c>
      <c r="F538" s="16" t="s">
        <v>28</v>
      </c>
      <c r="G538" s="34" t="s">
        <v>28</v>
      </c>
      <c r="H538" s="16" t="s">
        <v>678</v>
      </c>
      <c r="I538" s="91"/>
      <c r="J538" s="90" t="s">
        <v>91</v>
      </c>
      <c r="K538" s="87" t="s">
        <v>91</v>
      </c>
      <c r="L538" s="16"/>
      <c r="M538" s="101">
        <v>0</v>
      </c>
      <c r="N538" s="101">
        <v>6</v>
      </c>
      <c r="O538" s="101">
        <v>6</v>
      </c>
      <c r="P538" s="101">
        <v>4</v>
      </c>
      <c r="Q538" s="101"/>
      <c r="R538" s="101"/>
    </row>
    <row r="539" spans="1:18" ht="15.75">
      <c r="A539" s="33">
        <v>537</v>
      </c>
      <c r="B539" s="16" t="s">
        <v>658</v>
      </c>
      <c r="C539" s="87" t="s">
        <v>616</v>
      </c>
      <c r="D539" t="str">
        <f>"9400098"</f>
        <v>9400098</v>
      </c>
      <c r="E539" s="87" t="s">
        <v>468</v>
      </c>
      <c r="F539" s="16" t="s">
        <v>28</v>
      </c>
      <c r="G539" s="34" t="s">
        <v>28</v>
      </c>
      <c r="H539" s="16" t="s">
        <v>28</v>
      </c>
      <c r="I539" s="89">
        <v>2007</v>
      </c>
      <c r="J539" s="37" t="s">
        <v>139</v>
      </c>
      <c r="K539" s="87" t="s">
        <v>91</v>
      </c>
      <c r="L539" s="16"/>
      <c r="M539" s="101">
        <v>32</v>
      </c>
      <c r="N539" s="101">
        <v>30</v>
      </c>
      <c r="O539" s="101">
        <v>28</v>
      </c>
      <c r="P539" s="101">
        <v>29</v>
      </c>
      <c r="Q539" s="101">
        <v>33</v>
      </c>
      <c r="R539" s="101">
        <v>28</v>
      </c>
    </row>
    <row r="540" spans="1:18" ht="15.75">
      <c r="A540" s="33">
        <v>538</v>
      </c>
      <c r="B540" s="16" t="s">
        <v>658</v>
      </c>
      <c r="C540" s="87" t="s">
        <v>627</v>
      </c>
      <c r="D540" t="str">
        <f>"9400103"</f>
        <v>9400103</v>
      </c>
      <c r="E540" s="87" t="s">
        <v>468</v>
      </c>
      <c r="F540" s="16" t="s">
        <v>28</v>
      </c>
      <c r="G540" s="34" t="s">
        <v>28</v>
      </c>
      <c r="H540" s="16" t="s">
        <v>28</v>
      </c>
      <c r="I540" s="89">
        <v>2004</v>
      </c>
      <c r="J540" s="37" t="s">
        <v>139</v>
      </c>
      <c r="K540" s="87" t="s">
        <v>91</v>
      </c>
      <c r="L540" s="16"/>
      <c r="M540" s="101">
        <v>37</v>
      </c>
      <c r="N540" s="101">
        <v>33</v>
      </c>
      <c r="O540" s="101">
        <v>34</v>
      </c>
      <c r="P540" s="101">
        <v>30</v>
      </c>
      <c r="Q540" s="101">
        <v>35</v>
      </c>
      <c r="R540" s="101">
        <v>33</v>
      </c>
    </row>
    <row r="541" spans="1:18" ht="15.75">
      <c r="A541" s="33">
        <v>539</v>
      </c>
      <c r="B541" s="16" t="s">
        <v>658</v>
      </c>
      <c r="C541" s="87" t="s">
        <v>643</v>
      </c>
      <c r="D541" t="str">
        <f>"9400140"</f>
        <v>9400140</v>
      </c>
      <c r="E541" s="87" t="s">
        <v>468</v>
      </c>
      <c r="F541" s="16" t="s">
        <v>28</v>
      </c>
      <c r="G541" s="34" t="s">
        <v>28</v>
      </c>
      <c r="H541" s="16" t="s">
        <v>664</v>
      </c>
      <c r="I541" s="89">
        <v>1996</v>
      </c>
      <c r="J541" s="37" t="s">
        <v>139</v>
      </c>
      <c r="K541" s="87" t="s">
        <v>91</v>
      </c>
      <c r="L541" s="16"/>
      <c r="M541" s="101">
        <v>16</v>
      </c>
      <c r="N541" s="101">
        <v>22</v>
      </c>
      <c r="O541" s="101">
        <v>23</v>
      </c>
      <c r="P541" s="101">
        <v>26</v>
      </c>
      <c r="Q541" s="101">
        <v>25</v>
      </c>
      <c r="R541" s="101">
        <v>15</v>
      </c>
    </row>
    <row r="542" spans="1:18" ht="15.75">
      <c r="A542" s="33">
        <v>540</v>
      </c>
      <c r="B542" s="16" t="s">
        <v>658</v>
      </c>
      <c r="C542" s="87" t="s">
        <v>656</v>
      </c>
      <c r="D542" t="str">
        <f>"9400189"</f>
        <v>9400189</v>
      </c>
      <c r="E542" s="87" t="s">
        <v>468</v>
      </c>
      <c r="F542" s="16" t="s">
        <v>28</v>
      </c>
      <c r="G542" s="34" t="s">
        <v>28</v>
      </c>
      <c r="H542" s="16" t="s">
        <v>672</v>
      </c>
      <c r="I542" s="89">
        <v>1992</v>
      </c>
      <c r="J542" s="37" t="s">
        <v>91</v>
      </c>
      <c r="K542" s="87" t="s">
        <v>91</v>
      </c>
      <c r="L542" s="16"/>
      <c r="M542" s="104"/>
      <c r="N542" s="101">
        <v>2</v>
      </c>
      <c r="O542" s="101">
        <v>8</v>
      </c>
      <c r="P542" s="101">
        <v>7</v>
      </c>
      <c r="Q542" s="101">
        <v>8</v>
      </c>
      <c r="R542" s="101">
        <v>9</v>
      </c>
    </row>
    <row r="543" spans="1:18" ht="15.75">
      <c r="A543" s="33">
        <v>541</v>
      </c>
      <c r="B543" s="16" t="s">
        <v>658</v>
      </c>
      <c r="C543" s="87" t="s">
        <v>630</v>
      </c>
      <c r="D543" t="str">
        <f>"9400194"</f>
        <v>9400194</v>
      </c>
      <c r="E543" s="87" t="s">
        <v>468</v>
      </c>
      <c r="F543" s="16" t="s">
        <v>28</v>
      </c>
      <c r="G543" s="34" t="s">
        <v>28</v>
      </c>
      <c r="H543" s="16" t="s">
        <v>28</v>
      </c>
      <c r="I543" s="89">
        <v>1972</v>
      </c>
      <c r="J543" s="37" t="s">
        <v>91</v>
      </c>
      <c r="K543" s="87" t="s">
        <v>91</v>
      </c>
      <c r="L543" s="16"/>
      <c r="M543" s="101">
        <v>43</v>
      </c>
      <c r="N543" s="101">
        <v>43</v>
      </c>
      <c r="O543" s="101">
        <v>38</v>
      </c>
      <c r="P543" s="101">
        <v>31</v>
      </c>
      <c r="Q543" s="101">
        <v>30</v>
      </c>
      <c r="R543" s="101">
        <v>30</v>
      </c>
    </row>
    <row r="544" spans="1:18" ht="15.75">
      <c r="A544" s="33">
        <v>542</v>
      </c>
      <c r="B544" s="16" t="s">
        <v>658</v>
      </c>
      <c r="C544" s="87" t="s">
        <v>615</v>
      </c>
      <c r="D544" t="str">
        <f>"9400195"</f>
        <v>9400195</v>
      </c>
      <c r="E544" s="87" t="s">
        <v>468</v>
      </c>
      <c r="F544" s="16" t="s">
        <v>28</v>
      </c>
      <c r="G544" s="34" t="s">
        <v>28</v>
      </c>
      <c r="H544" s="16" t="s">
        <v>28</v>
      </c>
      <c r="I544" s="89">
        <v>1950</v>
      </c>
      <c r="J544" s="37" t="s">
        <v>91</v>
      </c>
      <c r="K544" s="87" t="s">
        <v>91</v>
      </c>
      <c r="L544" s="16"/>
      <c r="M544" s="101">
        <v>24</v>
      </c>
      <c r="N544" s="101">
        <v>23</v>
      </c>
      <c r="O544" s="101">
        <v>17</v>
      </c>
      <c r="P544" s="101">
        <v>22</v>
      </c>
      <c r="Q544" s="101">
        <v>23</v>
      </c>
      <c r="R544" s="101">
        <v>23</v>
      </c>
    </row>
    <row r="545" spans="1:18" ht="15.75">
      <c r="A545" s="33">
        <v>543</v>
      </c>
      <c r="B545" s="16" t="s">
        <v>658</v>
      </c>
      <c r="C545" s="87" t="s">
        <v>648</v>
      </c>
      <c r="D545" t="str">
        <f>"9400205"</f>
        <v>9400205</v>
      </c>
      <c r="E545" s="87" t="s">
        <v>468</v>
      </c>
      <c r="F545" s="16" t="s">
        <v>28</v>
      </c>
      <c r="G545" s="34" t="s">
        <v>28</v>
      </c>
      <c r="H545" s="16" t="s">
        <v>667</v>
      </c>
      <c r="I545" s="89">
        <v>1996</v>
      </c>
      <c r="J545" s="37" t="s">
        <v>139</v>
      </c>
      <c r="K545" s="87" t="s">
        <v>91</v>
      </c>
      <c r="L545" s="16"/>
      <c r="M545" s="101">
        <v>16</v>
      </c>
      <c r="N545" s="101">
        <v>15</v>
      </c>
      <c r="O545" s="101">
        <v>19</v>
      </c>
      <c r="P545" s="101">
        <v>16</v>
      </c>
      <c r="Q545" s="101">
        <v>14</v>
      </c>
      <c r="R545" s="101">
        <v>14</v>
      </c>
    </row>
    <row r="546" spans="1:18" ht="15.75">
      <c r="A546" s="33">
        <v>544</v>
      </c>
      <c r="B546" s="16" t="s">
        <v>658</v>
      </c>
      <c r="C546" s="87" t="s">
        <v>632</v>
      </c>
      <c r="D546" t="str">
        <f>"9400207"</f>
        <v>9400207</v>
      </c>
      <c r="E546" s="87" t="s">
        <v>468</v>
      </c>
      <c r="F546" s="16" t="s">
        <v>28</v>
      </c>
      <c r="G546" s="34" t="s">
        <v>28</v>
      </c>
      <c r="H546" s="16" t="s">
        <v>28</v>
      </c>
      <c r="I546" s="89"/>
      <c r="J546" s="89" t="s">
        <v>91</v>
      </c>
      <c r="K546" s="87" t="s">
        <v>139</v>
      </c>
      <c r="L546" s="16"/>
      <c r="M546" s="101">
        <v>17</v>
      </c>
      <c r="N546" s="101">
        <v>19</v>
      </c>
      <c r="O546" s="101">
        <v>19</v>
      </c>
      <c r="P546" s="101">
        <v>17</v>
      </c>
      <c r="Q546" s="101">
        <v>16</v>
      </c>
      <c r="R546" s="101">
        <v>20</v>
      </c>
    </row>
    <row r="547" spans="1:18" ht="15.75">
      <c r="A547" s="33">
        <v>545</v>
      </c>
      <c r="B547" s="16" t="s">
        <v>658</v>
      </c>
      <c r="C547" s="87" t="s">
        <v>647</v>
      </c>
      <c r="D547" t="str">
        <f>"9400209"</f>
        <v>9400209</v>
      </c>
      <c r="E547" s="87" t="s">
        <v>468</v>
      </c>
      <c r="F547" s="16" t="s">
        <v>28</v>
      </c>
      <c r="G547" s="34" t="s">
        <v>28</v>
      </c>
      <c r="H547" s="16" t="s">
        <v>666</v>
      </c>
      <c r="I547" s="89">
        <v>1994</v>
      </c>
      <c r="J547" s="37" t="s">
        <v>139</v>
      </c>
      <c r="K547" s="87" t="s">
        <v>91</v>
      </c>
      <c r="L547" s="16"/>
      <c r="M547" s="101">
        <v>21</v>
      </c>
      <c r="N547" s="101">
        <v>13</v>
      </c>
      <c r="O547" s="101">
        <v>10</v>
      </c>
      <c r="P547" s="101">
        <v>17</v>
      </c>
      <c r="Q547" s="101">
        <v>16</v>
      </c>
      <c r="R547" s="101">
        <v>7</v>
      </c>
    </row>
    <row r="548" spans="1:18" ht="15.75">
      <c r="A548" s="33">
        <v>546</v>
      </c>
      <c r="B548" s="16" t="s">
        <v>658</v>
      </c>
      <c r="C548" s="87" t="s">
        <v>633</v>
      </c>
      <c r="D548" t="str">
        <f>"9400211"</f>
        <v>9400211</v>
      </c>
      <c r="E548" s="87" t="s">
        <v>468</v>
      </c>
      <c r="F548" s="16" t="s">
        <v>28</v>
      </c>
      <c r="G548" s="34" t="s">
        <v>28</v>
      </c>
      <c r="H548" s="16" t="s">
        <v>28</v>
      </c>
      <c r="I548" s="89">
        <v>1997</v>
      </c>
      <c r="J548" s="37" t="s">
        <v>139</v>
      </c>
      <c r="K548" s="87" t="s">
        <v>139</v>
      </c>
      <c r="L548" s="16"/>
      <c r="M548" s="101">
        <v>37</v>
      </c>
      <c r="N548" s="101">
        <v>41</v>
      </c>
      <c r="O548" s="101">
        <v>29</v>
      </c>
      <c r="P548" s="101">
        <v>32</v>
      </c>
      <c r="Q548" s="101">
        <v>30</v>
      </c>
      <c r="R548" s="101">
        <v>35</v>
      </c>
    </row>
    <row r="549" spans="1:18" ht="15.75">
      <c r="A549" s="33">
        <v>547</v>
      </c>
      <c r="B549" s="16" t="s">
        <v>658</v>
      </c>
      <c r="C549" s="87" t="s">
        <v>634</v>
      </c>
      <c r="D549" t="str">
        <f>"9400212"</f>
        <v>9400212</v>
      </c>
      <c r="E549" s="87" t="s">
        <v>468</v>
      </c>
      <c r="F549" s="16" t="s">
        <v>28</v>
      </c>
      <c r="G549" s="34" t="s">
        <v>28</v>
      </c>
      <c r="H549" s="16" t="s">
        <v>28</v>
      </c>
      <c r="I549" s="89">
        <v>2009</v>
      </c>
      <c r="J549" s="37" t="s">
        <v>91</v>
      </c>
      <c r="K549" s="87" t="s">
        <v>139</v>
      </c>
      <c r="L549" s="16"/>
      <c r="M549" s="101">
        <v>24</v>
      </c>
      <c r="N549" s="101">
        <v>21</v>
      </c>
      <c r="O549" s="101">
        <v>24</v>
      </c>
      <c r="P549" s="101">
        <v>26</v>
      </c>
      <c r="Q549" s="101">
        <v>25</v>
      </c>
      <c r="R549" s="101">
        <v>31</v>
      </c>
    </row>
    <row r="550" spans="1:18" ht="15.75">
      <c r="A550" s="33">
        <v>548</v>
      </c>
      <c r="B550" s="16" t="s">
        <v>658</v>
      </c>
      <c r="C550" s="87" t="s">
        <v>635</v>
      </c>
      <c r="D550" t="str">
        <f>"9400213"</f>
        <v>9400213</v>
      </c>
      <c r="E550" s="87" t="s">
        <v>468</v>
      </c>
      <c r="F550" s="16" t="s">
        <v>28</v>
      </c>
      <c r="G550" s="34" t="s">
        <v>28</v>
      </c>
      <c r="H550" s="16" t="s">
        <v>28</v>
      </c>
      <c r="I550" s="89">
        <v>1990</v>
      </c>
      <c r="J550" s="37" t="s">
        <v>91</v>
      </c>
      <c r="K550" s="87" t="s">
        <v>139</v>
      </c>
      <c r="L550" s="16"/>
      <c r="M550" s="101">
        <v>22</v>
      </c>
      <c r="N550" s="101">
        <v>21</v>
      </c>
      <c r="O550" s="101">
        <v>15</v>
      </c>
      <c r="P550" s="101">
        <v>15</v>
      </c>
      <c r="Q550" s="101">
        <v>20</v>
      </c>
      <c r="R550" s="101">
        <v>16</v>
      </c>
    </row>
    <row r="551" spans="1:18" ht="15.75">
      <c r="A551" s="33">
        <v>549</v>
      </c>
      <c r="B551" s="16" t="s">
        <v>658</v>
      </c>
      <c r="C551" s="87" t="s">
        <v>644</v>
      </c>
      <c r="D551" t="str">
        <f>"9400222"</f>
        <v>9400222</v>
      </c>
      <c r="E551" s="87" t="s">
        <v>468</v>
      </c>
      <c r="F551" s="16" t="s">
        <v>28</v>
      </c>
      <c r="G551" s="34" t="s">
        <v>28</v>
      </c>
      <c r="H551" s="16" t="s">
        <v>677</v>
      </c>
      <c r="I551" s="89">
        <v>1950</v>
      </c>
      <c r="J551" s="37" t="s">
        <v>91</v>
      </c>
      <c r="K551" s="87" t="s">
        <v>91</v>
      </c>
      <c r="L551" s="16"/>
      <c r="M551" s="101">
        <v>10</v>
      </c>
      <c r="N551" s="101">
        <v>7</v>
      </c>
      <c r="O551" s="101">
        <v>4</v>
      </c>
      <c r="P551" s="101"/>
      <c r="Q551" s="101"/>
      <c r="R551" s="101"/>
    </row>
    <row r="552" spans="1:18" ht="15.75">
      <c r="A552" s="33">
        <v>550</v>
      </c>
      <c r="B552" s="16" t="s">
        <v>658</v>
      </c>
      <c r="C552" s="87" t="s">
        <v>617</v>
      </c>
      <c r="D552" t="str">
        <f>"9400223"</f>
        <v>9400223</v>
      </c>
      <c r="E552" s="87" t="s">
        <v>468</v>
      </c>
      <c r="F552" s="16" t="s">
        <v>28</v>
      </c>
      <c r="G552" s="34" t="s">
        <v>28</v>
      </c>
      <c r="H552" s="16" t="s">
        <v>28</v>
      </c>
      <c r="I552" s="89">
        <v>1992</v>
      </c>
      <c r="J552" s="37" t="s">
        <v>139</v>
      </c>
      <c r="K552" s="87" t="s">
        <v>91</v>
      </c>
      <c r="L552" s="16"/>
      <c r="M552" s="101">
        <v>30</v>
      </c>
      <c r="N552" s="101">
        <v>35</v>
      </c>
      <c r="O552" s="101">
        <v>34</v>
      </c>
      <c r="P552" s="101">
        <v>37</v>
      </c>
      <c r="Q552" s="101">
        <v>28</v>
      </c>
      <c r="R552" s="101">
        <v>20</v>
      </c>
    </row>
    <row r="553" spans="1:18" ht="15.75">
      <c r="A553" s="33">
        <v>551</v>
      </c>
      <c r="B553" s="16" t="s">
        <v>658</v>
      </c>
      <c r="C553" s="87" t="s">
        <v>636</v>
      </c>
      <c r="D553" t="str">
        <f>"9400228"</f>
        <v>9400228</v>
      </c>
      <c r="E553" s="87" t="s">
        <v>468</v>
      </c>
      <c r="F553" s="16" t="s">
        <v>28</v>
      </c>
      <c r="G553" s="34" t="s">
        <v>28</v>
      </c>
      <c r="H553" s="16" t="s">
        <v>28</v>
      </c>
      <c r="I553" s="89">
        <v>1981</v>
      </c>
      <c r="J553" s="37" t="s">
        <v>139</v>
      </c>
      <c r="K553" s="87" t="s">
        <v>91</v>
      </c>
      <c r="L553" s="16"/>
      <c r="M553" s="101">
        <v>19</v>
      </c>
      <c r="N553" s="101">
        <v>18</v>
      </c>
      <c r="O553" s="101">
        <v>18</v>
      </c>
      <c r="P553" s="101">
        <v>14</v>
      </c>
      <c r="Q553" s="101">
        <v>11</v>
      </c>
      <c r="R553" s="101">
        <v>8</v>
      </c>
    </row>
    <row r="554" spans="1:18" ht="15.75">
      <c r="A554" s="33">
        <v>552</v>
      </c>
      <c r="B554" s="16" t="s">
        <v>658</v>
      </c>
      <c r="C554" s="87" t="s">
        <v>614</v>
      </c>
      <c r="D554" t="str">
        <f>"9400233"</f>
        <v>9400233</v>
      </c>
      <c r="E554" s="87" t="s">
        <v>468</v>
      </c>
      <c r="F554" s="16" t="s">
        <v>28</v>
      </c>
      <c r="G554" s="34" t="s">
        <v>28</v>
      </c>
      <c r="H554" s="16" t="s">
        <v>28</v>
      </c>
      <c r="I554" s="89">
        <v>2005</v>
      </c>
      <c r="J554" s="37" t="s">
        <v>91</v>
      </c>
      <c r="K554" s="87" t="s">
        <v>91</v>
      </c>
      <c r="L554" s="16"/>
      <c r="M554" s="101">
        <v>45</v>
      </c>
      <c r="N554" s="101">
        <v>42</v>
      </c>
      <c r="O554" s="101">
        <v>45</v>
      </c>
      <c r="P554" s="101">
        <v>42</v>
      </c>
      <c r="Q554" s="101">
        <v>35</v>
      </c>
      <c r="R554" s="101">
        <v>42</v>
      </c>
    </row>
    <row r="555" spans="1:18" ht="15.75">
      <c r="A555" s="33">
        <v>553</v>
      </c>
      <c r="B555" s="16" t="s">
        <v>658</v>
      </c>
      <c r="C555" s="87" t="s">
        <v>618</v>
      </c>
      <c r="D555" t="str">
        <f>"9520894"</f>
        <v>9520894</v>
      </c>
      <c r="E555" s="87" t="s">
        <v>468</v>
      </c>
      <c r="F555" s="16" t="s">
        <v>28</v>
      </c>
      <c r="G555" s="34" t="s">
        <v>28</v>
      </c>
      <c r="H555" s="16" t="s">
        <v>28</v>
      </c>
      <c r="I555" s="89">
        <v>1992</v>
      </c>
      <c r="J555" s="37" t="s">
        <v>139</v>
      </c>
      <c r="K555" s="87" t="s">
        <v>91</v>
      </c>
      <c r="L555" s="16"/>
      <c r="M555" s="101">
        <v>3</v>
      </c>
      <c r="N555" s="104"/>
      <c r="O555" s="104"/>
      <c r="P555" s="104"/>
      <c r="Q555" s="104">
        <v>7</v>
      </c>
      <c r="R555" s="104">
        <v>6</v>
      </c>
    </row>
  </sheetData>
  <sortState ref="A3:R555">
    <sortCondition ref="B3:B555"/>
    <sortCondition ref="E3:E555"/>
    <sortCondition ref="G3:G555"/>
  </sortState>
  <mergeCells count="10">
    <mergeCell ref="S1:V1"/>
    <mergeCell ref="W1:AB1"/>
    <mergeCell ref="L1:L2"/>
    <mergeCell ref="A1:A2"/>
    <mergeCell ref="C1:C2"/>
    <mergeCell ref="G1:G2"/>
    <mergeCell ref="H1:H2"/>
    <mergeCell ref="E1:E2"/>
    <mergeCell ref="F1:F2"/>
    <mergeCell ref="M1:R1"/>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3">
        <x14:dataValidation type="list" allowBlank="1" showInputMessage="1" showErrorMessage="1" xr:uid="{4A39EBF5-5896-46EE-92C2-A0CE5BB094BE}">
          <x14:formula1>
            <xm:f>ΔΕΔΟΜΕΝΑ!$A$4:$A$7</xm:f>
          </x14:formula1>
          <xm:sqref>E3:E19 E37:E50</xm:sqref>
        </x14:dataValidation>
        <x14:dataValidation type="list" allowBlank="1" showInputMessage="1" showErrorMessage="1" xr:uid="{DBA5DC2B-5BAD-4CBF-944F-5A8F330AB734}">
          <x14:formula1>
            <xm:f>ΔΕΔΟΜΕΝΑ!$B$4:$B$7</xm:f>
          </x14:formula1>
          <xm:sqref>F3:F36</xm:sqref>
        </x14:dataValidation>
        <x14:dataValidation type="list" allowBlank="1" showInputMessage="1" showErrorMessage="1" xr:uid="{7E31E9BA-A02D-409E-98EA-56E20B55F936}">
          <x14:formula1>
            <xm:f>'C:\Users\Oikon\AppData\Local\Temp\pid-10040\[Χαρτογράφηση_ΕΚΠΑΙΔΕΥΣΗΣ_ΗΠΕΙΡΟΣ.xlsx]ΔΕΔΟΜΕΝΑ'!#REF!</xm:f>
          </x14:formula1>
          <xm:sqref>F149:F315 E149:E308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99925E-20B3-420A-8FE4-61F7BB32D9C6}">
  <dimension ref="A1:U555"/>
  <sheetViews>
    <sheetView tabSelected="1" topLeftCell="K1" workbookViewId="0">
      <selection activeCell="A2" sqref="A2"/>
    </sheetView>
  </sheetViews>
  <sheetFormatPr defaultRowHeight="14.25"/>
  <cols>
    <col min="1" max="1" width="4.625" customWidth="1"/>
    <col min="2" max="2" width="19" customWidth="1"/>
    <col min="3" max="3" width="55" customWidth="1"/>
    <col min="4" max="4" width="15.75" bestFit="1" customWidth="1"/>
    <col min="5" max="5" width="18.75" customWidth="1"/>
    <col min="6" max="6" width="14.125" customWidth="1"/>
    <col min="7" max="7" width="21.875" customWidth="1"/>
    <col min="8" max="8" width="18.25" customWidth="1"/>
    <col min="9" max="9" width="19.25" customWidth="1"/>
    <col min="10" max="10" width="24.375" customWidth="1"/>
    <col min="12" max="12" width="13.75" customWidth="1"/>
    <col min="13" max="13" width="21.25" customWidth="1"/>
    <col min="14" max="14" width="10.75" customWidth="1"/>
    <col min="15" max="15" width="11.375" customWidth="1"/>
    <col min="16" max="16" width="18.125" customWidth="1"/>
    <col min="17" max="17" width="10.375" customWidth="1"/>
    <col min="18" max="18" width="26.5" customWidth="1"/>
    <col min="19" max="19" width="26.25" customWidth="1"/>
    <col min="20" max="20" width="35.25" customWidth="1"/>
    <col min="21" max="21" width="32.125" customWidth="1"/>
  </cols>
  <sheetData>
    <row r="1" spans="1:21" ht="47.25" customHeight="1">
      <c r="A1" s="143" t="s">
        <v>0</v>
      </c>
      <c r="B1" s="143" t="s">
        <v>100</v>
      </c>
      <c r="C1" s="143" t="s">
        <v>4</v>
      </c>
      <c r="D1" s="143" t="s">
        <v>829</v>
      </c>
      <c r="E1" s="143" t="s">
        <v>2</v>
      </c>
      <c r="F1" s="143" t="s">
        <v>3</v>
      </c>
      <c r="G1" s="143" t="s">
        <v>1</v>
      </c>
      <c r="H1" s="143" t="s">
        <v>17</v>
      </c>
      <c r="I1" s="143" t="s">
        <v>89</v>
      </c>
      <c r="J1" s="143" t="s">
        <v>90</v>
      </c>
      <c r="K1" s="143" t="s">
        <v>31</v>
      </c>
      <c r="L1" s="143" t="s">
        <v>937</v>
      </c>
      <c r="M1" s="143" t="s">
        <v>938</v>
      </c>
      <c r="N1" s="143" t="s">
        <v>939</v>
      </c>
      <c r="O1" s="143" t="s">
        <v>940</v>
      </c>
      <c r="P1" s="143" t="s">
        <v>941</v>
      </c>
      <c r="Q1" s="143" t="s">
        <v>942</v>
      </c>
      <c r="R1" s="143" t="s">
        <v>943</v>
      </c>
      <c r="S1" s="143" t="s">
        <v>944</v>
      </c>
      <c r="T1" s="143" t="s">
        <v>945</v>
      </c>
      <c r="U1" s="143" t="s">
        <v>1589</v>
      </c>
    </row>
    <row r="2" spans="1:21">
      <c r="A2">
        <v>1</v>
      </c>
      <c r="B2" t="s">
        <v>101</v>
      </c>
      <c r="C2" t="s">
        <v>60</v>
      </c>
      <c r="D2" t="s">
        <v>946</v>
      </c>
      <c r="E2" t="s">
        <v>22</v>
      </c>
      <c r="F2" t="s">
        <v>25</v>
      </c>
      <c r="G2" t="s">
        <v>48</v>
      </c>
      <c r="H2" t="s">
        <v>25</v>
      </c>
      <c r="I2">
        <v>1933</v>
      </c>
      <c r="J2" t="s">
        <v>39</v>
      </c>
      <c r="K2" t="s">
        <v>91</v>
      </c>
      <c r="M2" t="s">
        <v>91</v>
      </c>
      <c r="N2">
        <v>1</v>
      </c>
      <c r="O2">
        <v>0</v>
      </c>
      <c r="P2" t="s">
        <v>91</v>
      </c>
      <c r="Q2">
        <v>1</v>
      </c>
      <c r="R2" t="s">
        <v>947</v>
      </c>
      <c r="S2" t="s">
        <v>91</v>
      </c>
      <c r="T2">
        <v>0</v>
      </c>
      <c r="U2" s="144" t="s">
        <v>292</v>
      </c>
    </row>
    <row r="3" spans="1:21">
      <c r="A3">
        <v>2</v>
      </c>
      <c r="B3" t="s">
        <v>101</v>
      </c>
      <c r="C3" t="s">
        <v>61</v>
      </c>
      <c r="D3" t="s">
        <v>948</v>
      </c>
      <c r="E3" t="s">
        <v>22</v>
      </c>
      <c r="F3" t="s">
        <v>25</v>
      </c>
      <c r="G3" t="s">
        <v>48</v>
      </c>
      <c r="H3" t="s">
        <v>25</v>
      </c>
      <c r="I3">
        <v>1993</v>
      </c>
      <c r="J3" t="s">
        <v>39</v>
      </c>
      <c r="K3" t="s">
        <v>91</v>
      </c>
      <c r="M3" t="s">
        <v>139</v>
      </c>
      <c r="N3">
        <v>0</v>
      </c>
      <c r="O3">
        <v>0</v>
      </c>
      <c r="P3" t="s">
        <v>91</v>
      </c>
      <c r="Q3">
        <v>1</v>
      </c>
      <c r="R3" t="s">
        <v>947</v>
      </c>
      <c r="S3" t="s">
        <v>91</v>
      </c>
      <c r="T3" t="s">
        <v>91</v>
      </c>
      <c r="U3" s="144"/>
    </row>
    <row r="4" spans="1:21">
      <c r="A4">
        <v>3</v>
      </c>
      <c r="B4" t="s">
        <v>101</v>
      </c>
      <c r="C4" t="s">
        <v>62</v>
      </c>
      <c r="D4" t="s">
        <v>949</v>
      </c>
      <c r="E4" t="s">
        <v>22</v>
      </c>
      <c r="F4" t="s">
        <v>25</v>
      </c>
      <c r="G4" t="s">
        <v>48</v>
      </c>
      <c r="H4" t="s">
        <v>25</v>
      </c>
      <c r="I4">
        <v>1975</v>
      </c>
      <c r="J4" t="s">
        <v>39</v>
      </c>
      <c r="K4" t="s">
        <v>91</v>
      </c>
      <c r="M4" t="s">
        <v>950</v>
      </c>
      <c r="N4">
        <v>0</v>
      </c>
      <c r="O4">
        <v>0</v>
      </c>
      <c r="P4" t="s">
        <v>91</v>
      </c>
      <c r="Q4">
        <v>1</v>
      </c>
      <c r="R4" t="s">
        <v>951</v>
      </c>
      <c r="S4" t="s">
        <v>91</v>
      </c>
      <c r="T4" t="s">
        <v>91</v>
      </c>
      <c r="U4" s="144"/>
    </row>
    <row r="5" spans="1:21">
      <c r="A5">
        <v>4</v>
      </c>
      <c r="B5" t="s">
        <v>101</v>
      </c>
      <c r="C5" t="s">
        <v>63</v>
      </c>
      <c r="D5" t="s">
        <v>952</v>
      </c>
      <c r="E5" t="s">
        <v>22</v>
      </c>
      <c r="F5" t="s">
        <v>25</v>
      </c>
      <c r="G5" t="s">
        <v>48</v>
      </c>
      <c r="H5" t="s">
        <v>25</v>
      </c>
      <c r="I5">
        <v>1978</v>
      </c>
      <c r="J5" t="s">
        <v>39</v>
      </c>
      <c r="K5" t="s">
        <v>91</v>
      </c>
      <c r="M5" t="s">
        <v>91</v>
      </c>
      <c r="N5">
        <v>1</v>
      </c>
      <c r="O5">
        <v>0</v>
      </c>
      <c r="P5" t="s">
        <v>91</v>
      </c>
      <c r="Q5">
        <v>1</v>
      </c>
      <c r="R5" t="s">
        <v>953</v>
      </c>
      <c r="S5" t="s">
        <v>91</v>
      </c>
      <c r="T5" t="s">
        <v>91</v>
      </c>
      <c r="U5" s="144"/>
    </row>
    <row r="6" spans="1:21">
      <c r="A6">
        <v>5</v>
      </c>
      <c r="B6" t="s">
        <v>101</v>
      </c>
      <c r="C6" t="s">
        <v>64</v>
      </c>
      <c r="D6" t="s">
        <v>954</v>
      </c>
      <c r="E6" t="s">
        <v>22</v>
      </c>
      <c r="F6" t="s">
        <v>25</v>
      </c>
      <c r="G6" t="s">
        <v>48</v>
      </c>
      <c r="H6" t="s">
        <v>25</v>
      </c>
      <c r="I6" t="s">
        <v>92</v>
      </c>
      <c r="J6" t="s">
        <v>955</v>
      </c>
      <c r="K6" t="s">
        <v>91</v>
      </c>
      <c r="U6" s="144"/>
    </row>
    <row r="7" spans="1:21">
      <c r="A7">
        <v>6</v>
      </c>
      <c r="B7" t="s">
        <v>101</v>
      </c>
      <c r="C7" t="s">
        <v>102</v>
      </c>
      <c r="D7" t="s">
        <v>959</v>
      </c>
      <c r="E7" t="s">
        <v>22</v>
      </c>
      <c r="F7" t="s">
        <v>25</v>
      </c>
      <c r="G7" t="s">
        <v>48</v>
      </c>
      <c r="H7" t="s">
        <v>25</v>
      </c>
      <c r="I7">
        <v>1993</v>
      </c>
      <c r="J7" t="s">
        <v>39</v>
      </c>
      <c r="K7" t="s">
        <v>91</v>
      </c>
      <c r="M7" t="s">
        <v>139</v>
      </c>
      <c r="N7">
        <v>0</v>
      </c>
      <c r="O7">
        <v>0</v>
      </c>
      <c r="P7" t="s">
        <v>91</v>
      </c>
      <c r="Q7">
        <v>1</v>
      </c>
      <c r="R7" t="s">
        <v>947</v>
      </c>
      <c r="S7" t="s">
        <v>91</v>
      </c>
      <c r="T7" t="s">
        <v>91</v>
      </c>
      <c r="U7" s="144"/>
    </row>
    <row r="8" spans="1:21">
      <c r="A8">
        <v>7</v>
      </c>
      <c r="B8" t="s">
        <v>101</v>
      </c>
      <c r="C8" t="s">
        <v>66</v>
      </c>
      <c r="D8" t="s">
        <v>960</v>
      </c>
      <c r="E8" t="s">
        <v>22</v>
      </c>
      <c r="F8" t="s">
        <v>25</v>
      </c>
      <c r="G8" t="s">
        <v>48</v>
      </c>
      <c r="H8" t="s">
        <v>52</v>
      </c>
      <c r="I8">
        <v>1984</v>
      </c>
      <c r="J8" t="s">
        <v>39</v>
      </c>
      <c r="K8" t="s">
        <v>91</v>
      </c>
      <c r="M8" t="s">
        <v>91</v>
      </c>
      <c r="N8">
        <v>1</v>
      </c>
      <c r="O8">
        <v>0</v>
      </c>
      <c r="P8" t="s">
        <v>91</v>
      </c>
      <c r="Q8">
        <v>1</v>
      </c>
      <c r="R8" t="s">
        <v>947</v>
      </c>
      <c r="S8" t="s">
        <v>91</v>
      </c>
      <c r="T8" t="s">
        <v>139</v>
      </c>
      <c r="U8" s="144"/>
    </row>
    <row r="9" spans="1:21">
      <c r="A9">
        <v>8</v>
      </c>
      <c r="B9" t="s">
        <v>101</v>
      </c>
      <c r="C9" t="s">
        <v>67</v>
      </c>
      <c r="D9" t="s">
        <v>961</v>
      </c>
      <c r="E9" t="s">
        <v>22</v>
      </c>
      <c r="F9" t="s">
        <v>25</v>
      </c>
      <c r="G9" t="s">
        <v>48</v>
      </c>
      <c r="H9" t="s">
        <v>25</v>
      </c>
      <c r="I9">
        <v>1989</v>
      </c>
      <c r="J9" t="s">
        <v>39</v>
      </c>
      <c r="K9" t="s">
        <v>91</v>
      </c>
      <c r="M9" t="s">
        <v>962</v>
      </c>
      <c r="N9">
        <v>0</v>
      </c>
      <c r="O9">
        <v>1</v>
      </c>
      <c r="P9" t="s">
        <v>91</v>
      </c>
      <c r="Q9">
        <v>1</v>
      </c>
      <c r="R9" t="s">
        <v>947</v>
      </c>
      <c r="S9" t="s">
        <v>91</v>
      </c>
      <c r="T9" t="s">
        <v>91</v>
      </c>
      <c r="U9" s="144"/>
    </row>
    <row r="10" spans="1:21">
      <c r="A10">
        <v>9</v>
      </c>
      <c r="B10" t="s">
        <v>101</v>
      </c>
      <c r="C10" t="s">
        <v>103</v>
      </c>
      <c r="D10" t="s">
        <v>964</v>
      </c>
      <c r="E10" t="s">
        <v>22</v>
      </c>
      <c r="F10" t="s">
        <v>25</v>
      </c>
      <c r="G10" t="s">
        <v>48</v>
      </c>
      <c r="H10" t="s">
        <v>25</v>
      </c>
      <c r="I10">
        <v>1990</v>
      </c>
      <c r="J10" t="s">
        <v>39</v>
      </c>
      <c r="K10" t="s">
        <v>91</v>
      </c>
      <c r="M10" t="s">
        <v>965</v>
      </c>
      <c r="N10">
        <v>0</v>
      </c>
      <c r="O10">
        <v>1</v>
      </c>
      <c r="P10" t="s">
        <v>91</v>
      </c>
      <c r="Q10">
        <v>1</v>
      </c>
      <c r="R10" t="s">
        <v>947</v>
      </c>
      <c r="S10" t="s">
        <v>91</v>
      </c>
      <c r="T10" t="s">
        <v>91</v>
      </c>
      <c r="U10" s="144"/>
    </row>
    <row r="11" spans="1:21">
      <c r="A11">
        <v>10</v>
      </c>
      <c r="B11" t="s">
        <v>101</v>
      </c>
      <c r="C11" t="s">
        <v>71</v>
      </c>
      <c r="D11" t="s">
        <v>969</v>
      </c>
      <c r="E11" t="s">
        <v>22</v>
      </c>
      <c r="F11" t="s">
        <v>25</v>
      </c>
      <c r="G11" t="s">
        <v>48</v>
      </c>
      <c r="H11" t="s">
        <v>25</v>
      </c>
      <c r="I11">
        <v>2005</v>
      </c>
      <c r="J11" t="s">
        <v>39</v>
      </c>
      <c r="K11" t="s">
        <v>91</v>
      </c>
      <c r="M11" t="s">
        <v>139</v>
      </c>
      <c r="N11">
        <v>0</v>
      </c>
      <c r="O11">
        <v>0</v>
      </c>
      <c r="P11" t="s">
        <v>970</v>
      </c>
      <c r="Q11">
        <v>0</v>
      </c>
      <c r="R11" t="s">
        <v>951</v>
      </c>
      <c r="S11" t="s">
        <v>91</v>
      </c>
      <c r="T11" t="s">
        <v>91</v>
      </c>
      <c r="U11" s="144"/>
    </row>
    <row r="12" spans="1:21">
      <c r="A12">
        <v>11</v>
      </c>
      <c r="B12" t="s">
        <v>101</v>
      </c>
      <c r="C12" t="s">
        <v>43</v>
      </c>
      <c r="D12" t="s">
        <v>957</v>
      </c>
      <c r="E12" t="s">
        <v>22</v>
      </c>
      <c r="F12" t="s">
        <v>25</v>
      </c>
      <c r="G12" t="s">
        <v>49</v>
      </c>
      <c r="H12" t="s">
        <v>53</v>
      </c>
      <c r="I12">
        <v>1972</v>
      </c>
      <c r="J12" t="s">
        <v>39</v>
      </c>
      <c r="K12" t="s">
        <v>91</v>
      </c>
      <c r="M12" t="s">
        <v>91</v>
      </c>
      <c r="N12">
        <v>1</v>
      </c>
      <c r="O12">
        <v>0</v>
      </c>
      <c r="P12" t="s">
        <v>91</v>
      </c>
      <c r="Q12">
        <v>1</v>
      </c>
      <c r="R12" t="s">
        <v>947</v>
      </c>
      <c r="S12" t="s">
        <v>139</v>
      </c>
      <c r="T12" t="s">
        <v>91</v>
      </c>
      <c r="U12" s="144"/>
    </row>
    <row r="13" spans="1:21">
      <c r="A13">
        <v>12</v>
      </c>
      <c r="B13" t="s">
        <v>101</v>
      </c>
      <c r="C13" t="s">
        <v>69</v>
      </c>
      <c r="D13" t="s">
        <v>967</v>
      </c>
      <c r="E13" t="s">
        <v>22</v>
      </c>
      <c r="F13" t="s">
        <v>25</v>
      </c>
      <c r="G13" t="s">
        <v>49</v>
      </c>
      <c r="H13" t="s">
        <v>58</v>
      </c>
      <c r="I13">
        <v>1994</v>
      </c>
      <c r="J13" t="s">
        <v>39</v>
      </c>
      <c r="K13" t="s">
        <v>91</v>
      </c>
      <c r="M13" t="s">
        <v>91</v>
      </c>
      <c r="N13">
        <v>1</v>
      </c>
      <c r="O13">
        <v>0</v>
      </c>
      <c r="P13" t="s">
        <v>91</v>
      </c>
      <c r="Q13">
        <v>1</v>
      </c>
      <c r="R13" t="s">
        <v>947</v>
      </c>
      <c r="S13" t="s">
        <v>91</v>
      </c>
      <c r="T13" t="s">
        <v>91</v>
      </c>
      <c r="U13" s="144"/>
    </row>
    <row r="14" spans="1:21">
      <c r="A14">
        <v>13</v>
      </c>
      <c r="B14" t="s">
        <v>101</v>
      </c>
      <c r="C14" t="s">
        <v>65</v>
      </c>
      <c r="D14" t="s">
        <v>956</v>
      </c>
      <c r="E14" t="s">
        <v>22</v>
      </c>
      <c r="F14" t="s">
        <v>25</v>
      </c>
      <c r="G14" t="s">
        <v>50</v>
      </c>
      <c r="H14" t="s">
        <v>57</v>
      </c>
      <c r="I14">
        <v>1985</v>
      </c>
      <c r="J14" t="s">
        <v>39</v>
      </c>
      <c r="K14" t="s">
        <v>91</v>
      </c>
      <c r="M14" t="s">
        <v>91</v>
      </c>
      <c r="N14">
        <v>1</v>
      </c>
      <c r="O14">
        <v>0</v>
      </c>
      <c r="P14" t="s">
        <v>91</v>
      </c>
      <c r="Q14">
        <v>1</v>
      </c>
      <c r="R14" t="s">
        <v>947</v>
      </c>
      <c r="S14" t="s">
        <v>139</v>
      </c>
      <c r="T14" t="s">
        <v>91</v>
      </c>
      <c r="U14" s="144"/>
    </row>
    <row r="15" spans="1:21">
      <c r="A15">
        <v>14</v>
      </c>
      <c r="B15" t="s">
        <v>101</v>
      </c>
      <c r="C15" t="s">
        <v>44</v>
      </c>
      <c r="D15" t="s">
        <v>958</v>
      </c>
      <c r="E15" t="s">
        <v>22</v>
      </c>
      <c r="F15" t="s">
        <v>25</v>
      </c>
      <c r="G15" t="s">
        <v>50</v>
      </c>
      <c r="H15" t="s">
        <v>54</v>
      </c>
      <c r="I15">
        <v>1979</v>
      </c>
      <c r="J15" t="s">
        <v>39</v>
      </c>
      <c r="K15" t="s">
        <v>91</v>
      </c>
      <c r="M15" t="s">
        <v>139</v>
      </c>
      <c r="N15">
        <v>0</v>
      </c>
      <c r="O15">
        <v>0</v>
      </c>
      <c r="P15" t="s">
        <v>139</v>
      </c>
      <c r="Q15">
        <v>0</v>
      </c>
      <c r="R15" t="s">
        <v>947</v>
      </c>
      <c r="S15" t="s">
        <v>139</v>
      </c>
      <c r="T15" t="s">
        <v>91</v>
      </c>
      <c r="U15" s="144"/>
    </row>
    <row r="16" spans="1:21">
      <c r="A16">
        <v>15</v>
      </c>
      <c r="B16" t="s">
        <v>101</v>
      </c>
      <c r="C16" t="s">
        <v>45</v>
      </c>
      <c r="D16" t="s">
        <v>963</v>
      </c>
      <c r="E16" t="s">
        <v>22</v>
      </c>
      <c r="F16" t="s">
        <v>25</v>
      </c>
      <c r="G16" t="s">
        <v>51</v>
      </c>
      <c r="H16" t="s">
        <v>59</v>
      </c>
      <c r="I16">
        <v>1973</v>
      </c>
      <c r="J16" t="s">
        <v>39</v>
      </c>
      <c r="K16" t="s">
        <v>91</v>
      </c>
      <c r="M16" t="s">
        <v>91</v>
      </c>
      <c r="N16">
        <v>1</v>
      </c>
      <c r="O16">
        <v>0</v>
      </c>
      <c r="P16" t="s">
        <v>91</v>
      </c>
      <c r="Q16">
        <v>1</v>
      </c>
      <c r="R16" t="s">
        <v>951</v>
      </c>
      <c r="S16" t="s">
        <v>91</v>
      </c>
      <c r="T16">
        <v>0</v>
      </c>
      <c r="U16" s="144" t="s">
        <v>292</v>
      </c>
    </row>
    <row r="17" spans="1:21">
      <c r="A17">
        <v>16</v>
      </c>
      <c r="B17" t="s">
        <v>101</v>
      </c>
      <c r="C17" t="s">
        <v>68</v>
      </c>
      <c r="D17" t="s">
        <v>966</v>
      </c>
      <c r="E17" t="s">
        <v>22</v>
      </c>
      <c r="F17" t="s">
        <v>25</v>
      </c>
      <c r="G17" t="s">
        <v>51</v>
      </c>
      <c r="H17" t="s">
        <v>55</v>
      </c>
      <c r="I17">
        <v>1984</v>
      </c>
      <c r="J17" t="s">
        <v>39</v>
      </c>
      <c r="K17" t="s">
        <v>91</v>
      </c>
      <c r="M17" t="s">
        <v>139</v>
      </c>
      <c r="N17">
        <v>0</v>
      </c>
      <c r="O17">
        <v>0</v>
      </c>
      <c r="P17" t="s">
        <v>91</v>
      </c>
      <c r="Q17">
        <v>1</v>
      </c>
      <c r="R17" t="s">
        <v>947</v>
      </c>
      <c r="S17" t="s">
        <v>91</v>
      </c>
      <c r="T17" t="s">
        <v>91</v>
      </c>
      <c r="U17" s="144"/>
    </row>
    <row r="18" spans="1:21">
      <c r="A18">
        <v>17</v>
      </c>
      <c r="B18" t="s">
        <v>101</v>
      </c>
      <c r="C18" t="s">
        <v>70</v>
      </c>
      <c r="D18" t="s">
        <v>968</v>
      </c>
      <c r="E18" t="s">
        <v>22</v>
      </c>
      <c r="F18" t="s">
        <v>25</v>
      </c>
      <c r="G18" t="s">
        <v>51</v>
      </c>
      <c r="H18" t="s">
        <v>56</v>
      </c>
      <c r="I18">
        <v>1985</v>
      </c>
      <c r="J18" t="s">
        <v>39</v>
      </c>
      <c r="K18" t="s">
        <v>91</v>
      </c>
      <c r="M18" t="s">
        <v>91</v>
      </c>
      <c r="N18">
        <v>1</v>
      </c>
      <c r="O18">
        <v>0</v>
      </c>
      <c r="P18" t="s">
        <v>91</v>
      </c>
      <c r="Q18">
        <v>1</v>
      </c>
      <c r="R18" t="s">
        <v>947</v>
      </c>
      <c r="S18" t="s">
        <v>91</v>
      </c>
      <c r="T18" t="s">
        <v>91</v>
      </c>
      <c r="U18" s="144"/>
    </row>
    <row r="19" spans="1:21">
      <c r="A19">
        <v>18</v>
      </c>
      <c r="B19" t="s">
        <v>101</v>
      </c>
      <c r="C19" t="s">
        <v>72</v>
      </c>
      <c r="D19" t="s">
        <v>971</v>
      </c>
      <c r="E19" t="s">
        <v>84</v>
      </c>
      <c r="F19" t="s">
        <v>25</v>
      </c>
      <c r="G19" t="s">
        <v>48</v>
      </c>
      <c r="H19" t="s">
        <v>25</v>
      </c>
      <c r="I19" t="s">
        <v>92</v>
      </c>
      <c r="J19" t="s">
        <v>92</v>
      </c>
      <c r="K19" t="s">
        <v>91</v>
      </c>
      <c r="M19" t="s">
        <v>972</v>
      </c>
      <c r="N19">
        <v>0</v>
      </c>
      <c r="O19">
        <v>0</v>
      </c>
      <c r="P19" t="s">
        <v>139</v>
      </c>
      <c r="Q19">
        <v>0</v>
      </c>
      <c r="R19" t="s">
        <v>973</v>
      </c>
      <c r="S19" t="s">
        <v>974</v>
      </c>
      <c r="T19" t="s">
        <v>139</v>
      </c>
      <c r="U19" s="144"/>
    </row>
    <row r="20" spans="1:21">
      <c r="A20">
        <v>19</v>
      </c>
      <c r="B20" t="s">
        <v>101</v>
      </c>
      <c r="C20" t="s">
        <v>73</v>
      </c>
      <c r="D20" t="s">
        <v>975</v>
      </c>
      <c r="E20" t="s">
        <v>85</v>
      </c>
      <c r="F20" t="s">
        <v>25</v>
      </c>
      <c r="G20" t="s">
        <v>48</v>
      </c>
      <c r="H20" t="s">
        <v>25</v>
      </c>
      <c r="I20">
        <v>1952</v>
      </c>
      <c r="J20" t="s">
        <v>39</v>
      </c>
      <c r="K20" t="s">
        <v>91</v>
      </c>
      <c r="M20" t="s">
        <v>976</v>
      </c>
      <c r="N20">
        <v>0</v>
      </c>
      <c r="O20">
        <v>1</v>
      </c>
      <c r="P20" t="s">
        <v>139</v>
      </c>
      <c r="Q20">
        <v>0</v>
      </c>
      <c r="R20" t="s">
        <v>977</v>
      </c>
      <c r="S20" t="s">
        <v>91</v>
      </c>
      <c r="T20" t="s">
        <v>139</v>
      </c>
      <c r="U20" s="144"/>
    </row>
    <row r="21" spans="1:21">
      <c r="A21">
        <v>20</v>
      </c>
      <c r="B21" t="s">
        <v>101</v>
      </c>
      <c r="C21" t="s">
        <v>82</v>
      </c>
      <c r="D21" t="s">
        <v>978</v>
      </c>
      <c r="E21" t="s">
        <v>87</v>
      </c>
      <c r="F21" t="s">
        <v>25</v>
      </c>
      <c r="G21" t="s">
        <v>48</v>
      </c>
      <c r="H21" t="s">
        <v>25</v>
      </c>
      <c r="I21">
        <v>1977</v>
      </c>
      <c r="J21" t="s">
        <v>39</v>
      </c>
      <c r="K21" t="s">
        <v>91</v>
      </c>
      <c r="U21" s="144" t="s">
        <v>292</v>
      </c>
    </row>
    <row r="22" spans="1:21">
      <c r="A22">
        <v>21</v>
      </c>
      <c r="B22" t="s">
        <v>101</v>
      </c>
      <c r="C22" t="s">
        <v>74</v>
      </c>
      <c r="D22" t="s">
        <v>979</v>
      </c>
      <c r="E22" t="s">
        <v>86</v>
      </c>
      <c r="F22" t="s">
        <v>25</v>
      </c>
      <c r="G22" t="s">
        <v>48</v>
      </c>
      <c r="H22" t="s">
        <v>25</v>
      </c>
      <c r="I22">
        <v>1977</v>
      </c>
      <c r="J22" t="s">
        <v>39</v>
      </c>
      <c r="K22" t="s">
        <v>91</v>
      </c>
      <c r="M22" t="s">
        <v>139</v>
      </c>
      <c r="N22">
        <v>0</v>
      </c>
      <c r="O22">
        <v>0</v>
      </c>
      <c r="P22" t="s">
        <v>91</v>
      </c>
      <c r="Q22">
        <v>1</v>
      </c>
      <c r="R22" t="s">
        <v>980</v>
      </c>
      <c r="S22" t="s">
        <v>91</v>
      </c>
      <c r="T22" t="s">
        <v>139</v>
      </c>
      <c r="U22" s="144"/>
    </row>
    <row r="23" spans="1:21">
      <c r="A23">
        <v>22</v>
      </c>
      <c r="B23" t="s">
        <v>101</v>
      </c>
      <c r="C23" t="s">
        <v>75</v>
      </c>
      <c r="D23" t="s">
        <v>981</v>
      </c>
      <c r="E23" t="s">
        <v>86</v>
      </c>
      <c r="F23" t="s">
        <v>25</v>
      </c>
      <c r="G23" t="s">
        <v>48</v>
      </c>
      <c r="H23" t="s">
        <v>25</v>
      </c>
      <c r="I23">
        <v>1977</v>
      </c>
      <c r="J23" t="s">
        <v>39</v>
      </c>
      <c r="K23" t="s">
        <v>91</v>
      </c>
      <c r="M23" t="s">
        <v>91</v>
      </c>
      <c r="N23">
        <v>1</v>
      </c>
      <c r="O23">
        <v>0</v>
      </c>
      <c r="P23" t="s">
        <v>91</v>
      </c>
      <c r="Q23">
        <v>1</v>
      </c>
      <c r="R23" t="s">
        <v>947</v>
      </c>
      <c r="S23" t="s">
        <v>91</v>
      </c>
      <c r="T23">
        <v>0</v>
      </c>
      <c r="U23" s="144" t="s">
        <v>292</v>
      </c>
    </row>
    <row r="24" spans="1:21">
      <c r="A24">
        <v>23</v>
      </c>
      <c r="B24" t="s">
        <v>101</v>
      </c>
      <c r="C24" t="s">
        <v>83</v>
      </c>
      <c r="D24" t="s">
        <v>982</v>
      </c>
      <c r="E24" t="s">
        <v>86</v>
      </c>
      <c r="F24" t="s">
        <v>25</v>
      </c>
      <c r="G24" t="s">
        <v>48</v>
      </c>
      <c r="H24" t="s">
        <v>25</v>
      </c>
      <c r="I24">
        <v>1977</v>
      </c>
      <c r="J24" t="s">
        <v>39</v>
      </c>
      <c r="K24" t="s">
        <v>91</v>
      </c>
      <c r="U24" s="144"/>
    </row>
    <row r="25" spans="1:21">
      <c r="A25">
        <v>24</v>
      </c>
      <c r="B25" t="s">
        <v>101</v>
      </c>
      <c r="C25" t="s">
        <v>104</v>
      </c>
      <c r="D25" t="s">
        <v>985</v>
      </c>
      <c r="E25" t="s">
        <v>23</v>
      </c>
      <c r="F25" t="s">
        <v>25</v>
      </c>
      <c r="G25" t="s">
        <v>48</v>
      </c>
      <c r="H25" t="s">
        <v>25</v>
      </c>
      <c r="I25">
        <v>1933</v>
      </c>
      <c r="J25" t="s">
        <v>39</v>
      </c>
      <c r="K25" t="s">
        <v>91</v>
      </c>
      <c r="M25" t="s">
        <v>139</v>
      </c>
      <c r="N25">
        <v>0</v>
      </c>
      <c r="O25">
        <v>0</v>
      </c>
      <c r="P25" t="s">
        <v>91</v>
      </c>
      <c r="Q25">
        <v>1</v>
      </c>
      <c r="R25" t="s">
        <v>947</v>
      </c>
      <c r="S25" t="s">
        <v>91</v>
      </c>
      <c r="T25">
        <v>0</v>
      </c>
      <c r="U25" s="144"/>
    </row>
    <row r="26" spans="1:21">
      <c r="A26">
        <v>25</v>
      </c>
      <c r="B26" t="s">
        <v>101</v>
      </c>
      <c r="C26" t="s">
        <v>76</v>
      </c>
      <c r="D26" t="s">
        <v>986</v>
      </c>
      <c r="E26" t="s">
        <v>23</v>
      </c>
      <c r="F26" t="s">
        <v>25</v>
      </c>
      <c r="G26" t="s">
        <v>48</v>
      </c>
      <c r="H26" t="s">
        <v>25</v>
      </c>
      <c r="I26">
        <v>1993</v>
      </c>
      <c r="J26" t="s">
        <v>39</v>
      </c>
      <c r="K26" t="s">
        <v>91</v>
      </c>
      <c r="M26" t="s">
        <v>139</v>
      </c>
      <c r="N26">
        <v>0</v>
      </c>
      <c r="O26">
        <v>0</v>
      </c>
      <c r="P26" t="s">
        <v>91</v>
      </c>
      <c r="Q26">
        <v>1</v>
      </c>
      <c r="R26" t="s">
        <v>947</v>
      </c>
      <c r="S26" t="s">
        <v>91</v>
      </c>
      <c r="T26" t="s">
        <v>91</v>
      </c>
      <c r="U26" s="144"/>
    </row>
    <row r="27" spans="1:21">
      <c r="A27">
        <v>26</v>
      </c>
      <c r="B27" t="s">
        <v>101</v>
      </c>
      <c r="C27" t="s">
        <v>77</v>
      </c>
      <c r="D27" t="s">
        <v>987</v>
      </c>
      <c r="E27" t="s">
        <v>23</v>
      </c>
      <c r="F27" t="s">
        <v>25</v>
      </c>
      <c r="G27" t="s">
        <v>48</v>
      </c>
      <c r="H27" t="s">
        <v>25</v>
      </c>
      <c r="I27">
        <v>1969</v>
      </c>
      <c r="J27" t="s">
        <v>39</v>
      </c>
      <c r="K27" t="s">
        <v>91</v>
      </c>
      <c r="M27" t="s">
        <v>139</v>
      </c>
      <c r="N27">
        <v>0</v>
      </c>
      <c r="O27">
        <v>0</v>
      </c>
      <c r="P27" t="s">
        <v>91</v>
      </c>
      <c r="Q27">
        <v>1</v>
      </c>
      <c r="R27" t="s">
        <v>947</v>
      </c>
      <c r="S27" t="s">
        <v>91</v>
      </c>
      <c r="T27" t="s">
        <v>91</v>
      </c>
      <c r="U27" s="144"/>
    </row>
    <row r="28" spans="1:21">
      <c r="A28">
        <v>27</v>
      </c>
      <c r="B28" t="s">
        <v>101</v>
      </c>
      <c r="C28" t="s">
        <v>105</v>
      </c>
      <c r="D28" t="s">
        <v>988</v>
      </c>
      <c r="E28" t="s">
        <v>23</v>
      </c>
      <c r="F28" t="s">
        <v>25</v>
      </c>
      <c r="G28" t="s">
        <v>48</v>
      </c>
      <c r="H28" t="s">
        <v>25</v>
      </c>
      <c r="I28">
        <v>1978</v>
      </c>
      <c r="J28" t="s">
        <v>39</v>
      </c>
      <c r="K28" t="s">
        <v>91</v>
      </c>
      <c r="M28" t="s">
        <v>139</v>
      </c>
      <c r="N28">
        <v>0</v>
      </c>
      <c r="O28">
        <v>0</v>
      </c>
      <c r="P28" t="s">
        <v>91</v>
      </c>
      <c r="Q28">
        <v>1</v>
      </c>
      <c r="R28" t="s">
        <v>947</v>
      </c>
      <c r="S28" t="s">
        <v>91</v>
      </c>
      <c r="T28" t="s">
        <v>91</v>
      </c>
      <c r="U28" s="144"/>
    </row>
    <row r="29" spans="1:21">
      <c r="A29">
        <v>28</v>
      </c>
      <c r="B29" t="s">
        <v>101</v>
      </c>
      <c r="C29" t="s">
        <v>79</v>
      </c>
      <c r="D29" t="s">
        <v>991</v>
      </c>
      <c r="E29" t="s">
        <v>23</v>
      </c>
      <c r="F29" t="s">
        <v>25</v>
      </c>
      <c r="G29" t="s">
        <v>48</v>
      </c>
      <c r="H29" t="s">
        <v>25</v>
      </c>
      <c r="I29">
        <v>1933</v>
      </c>
      <c r="J29" t="s">
        <v>39</v>
      </c>
      <c r="K29" t="s">
        <v>91</v>
      </c>
      <c r="M29" t="s">
        <v>91</v>
      </c>
      <c r="N29">
        <v>1</v>
      </c>
      <c r="O29">
        <v>0</v>
      </c>
      <c r="P29" t="s">
        <v>91</v>
      </c>
      <c r="Q29">
        <v>1</v>
      </c>
      <c r="R29" t="s">
        <v>977</v>
      </c>
      <c r="S29" t="s">
        <v>91</v>
      </c>
      <c r="T29" t="s">
        <v>91</v>
      </c>
      <c r="U29" s="144"/>
    </row>
    <row r="30" spans="1:21">
      <c r="A30">
        <v>29</v>
      </c>
      <c r="B30" t="s">
        <v>101</v>
      </c>
      <c r="C30" t="s">
        <v>80</v>
      </c>
      <c r="D30" t="s">
        <v>992</v>
      </c>
      <c r="E30" t="s">
        <v>23</v>
      </c>
      <c r="F30" t="s">
        <v>25</v>
      </c>
      <c r="G30" t="s">
        <v>48</v>
      </c>
      <c r="H30" t="s">
        <v>52</v>
      </c>
      <c r="I30">
        <v>1984</v>
      </c>
      <c r="J30" t="s">
        <v>39</v>
      </c>
      <c r="K30" t="s">
        <v>91</v>
      </c>
      <c r="M30" t="s">
        <v>91</v>
      </c>
      <c r="N30">
        <v>1</v>
      </c>
      <c r="O30">
        <v>0</v>
      </c>
      <c r="P30" t="s">
        <v>91</v>
      </c>
      <c r="Q30">
        <v>1</v>
      </c>
      <c r="R30" t="s">
        <v>947</v>
      </c>
      <c r="S30" t="s">
        <v>91</v>
      </c>
      <c r="T30" t="s">
        <v>139</v>
      </c>
      <c r="U30" s="144"/>
    </row>
    <row r="31" spans="1:21">
      <c r="A31">
        <v>30</v>
      </c>
      <c r="B31" t="s">
        <v>101</v>
      </c>
      <c r="C31" t="s">
        <v>46</v>
      </c>
      <c r="D31" t="s">
        <v>990</v>
      </c>
      <c r="E31" t="s">
        <v>23</v>
      </c>
      <c r="F31" t="s">
        <v>25</v>
      </c>
      <c r="G31" t="s">
        <v>49</v>
      </c>
      <c r="H31" t="s">
        <v>58</v>
      </c>
      <c r="I31">
        <v>1994</v>
      </c>
      <c r="J31" t="s">
        <v>39</v>
      </c>
      <c r="K31" t="s">
        <v>91</v>
      </c>
      <c r="M31" t="s">
        <v>91</v>
      </c>
      <c r="N31">
        <v>1</v>
      </c>
      <c r="O31">
        <v>0</v>
      </c>
      <c r="P31" t="s">
        <v>91</v>
      </c>
      <c r="Q31">
        <v>1</v>
      </c>
      <c r="R31" t="s">
        <v>947</v>
      </c>
      <c r="S31" t="s">
        <v>139</v>
      </c>
      <c r="T31" t="s">
        <v>91</v>
      </c>
      <c r="U31" s="144"/>
    </row>
    <row r="32" spans="1:21">
      <c r="A32">
        <v>31</v>
      </c>
      <c r="B32" t="s">
        <v>101</v>
      </c>
      <c r="C32" t="s">
        <v>81</v>
      </c>
      <c r="D32" t="s">
        <v>993</v>
      </c>
      <c r="E32" t="s">
        <v>23</v>
      </c>
      <c r="F32" t="s">
        <v>25</v>
      </c>
      <c r="G32" t="s">
        <v>49</v>
      </c>
      <c r="H32" t="s">
        <v>53</v>
      </c>
      <c r="I32">
        <v>1997</v>
      </c>
      <c r="J32" t="s">
        <v>39</v>
      </c>
      <c r="K32" t="s">
        <v>91</v>
      </c>
      <c r="M32" t="s">
        <v>139</v>
      </c>
      <c r="N32">
        <v>0</v>
      </c>
      <c r="O32">
        <v>0</v>
      </c>
      <c r="P32" t="s">
        <v>139</v>
      </c>
      <c r="Q32">
        <v>0</v>
      </c>
      <c r="R32" t="s">
        <v>947</v>
      </c>
      <c r="S32" t="s">
        <v>139</v>
      </c>
      <c r="T32" t="s">
        <v>91</v>
      </c>
      <c r="U32" s="144"/>
    </row>
    <row r="33" spans="1:21">
      <c r="A33">
        <v>32</v>
      </c>
      <c r="B33" t="s">
        <v>101</v>
      </c>
      <c r="C33" t="s">
        <v>78</v>
      </c>
      <c r="D33" t="s">
        <v>989</v>
      </c>
      <c r="E33" t="s">
        <v>23</v>
      </c>
      <c r="F33" t="s">
        <v>25</v>
      </c>
      <c r="G33" t="s">
        <v>50</v>
      </c>
      <c r="H33" t="s">
        <v>25</v>
      </c>
      <c r="I33">
        <v>1979</v>
      </c>
      <c r="J33" t="s">
        <v>39</v>
      </c>
      <c r="K33" t="s">
        <v>91</v>
      </c>
      <c r="M33" t="s">
        <v>91</v>
      </c>
      <c r="N33">
        <v>1</v>
      </c>
      <c r="O33">
        <v>0</v>
      </c>
      <c r="P33" t="s">
        <v>91</v>
      </c>
      <c r="Q33">
        <v>1</v>
      </c>
      <c r="R33" t="s">
        <v>947</v>
      </c>
      <c r="S33" t="s">
        <v>139</v>
      </c>
      <c r="T33" t="s">
        <v>91</v>
      </c>
      <c r="U33" s="144" t="s">
        <v>292</v>
      </c>
    </row>
    <row r="34" spans="1:21">
      <c r="A34">
        <v>33</v>
      </c>
      <c r="B34" t="s">
        <v>101</v>
      </c>
      <c r="C34" t="s">
        <v>88</v>
      </c>
      <c r="D34" t="s">
        <v>983</v>
      </c>
      <c r="E34" t="s">
        <v>23</v>
      </c>
      <c r="F34" t="s">
        <v>25</v>
      </c>
      <c r="G34" t="s">
        <v>51</v>
      </c>
      <c r="H34" t="s">
        <v>55</v>
      </c>
      <c r="I34">
        <v>1984</v>
      </c>
      <c r="J34" t="s">
        <v>39</v>
      </c>
      <c r="K34" t="s">
        <v>91</v>
      </c>
      <c r="M34" t="s">
        <v>139</v>
      </c>
      <c r="N34">
        <v>0</v>
      </c>
      <c r="O34">
        <v>0</v>
      </c>
      <c r="P34" t="s">
        <v>91</v>
      </c>
      <c r="Q34">
        <v>1</v>
      </c>
      <c r="R34" t="s">
        <v>984</v>
      </c>
      <c r="S34" t="s">
        <v>91</v>
      </c>
      <c r="T34">
        <v>0</v>
      </c>
      <c r="U34" s="144"/>
    </row>
    <row r="35" spans="1:21">
      <c r="A35">
        <v>34</v>
      </c>
      <c r="B35" t="s">
        <v>101</v>
      </c>
      <c r="C35" t="s">
        <v>47</v>
      </c>
      <c r="D35" t="s">
        <v>994</v>
      </c>
      <c r="E35" t="s">
        <v>23</v>
      </c>
      <c r="F35" t="s">
        <v>25</v>
      </c>
      <c r="G35" t="s">
        <v>51</v>
      </c>
      <c r="H35" t="s">
        <v>59</v>
      </c>
      <c r="I35">
        <v>1987</v>
      </c>
      <c r="J35" t="s">
        <v>39</v>
      </c>
      <c r="K35" t="s">
        <v>91</v>
      </c>
      <c r="M35" t="s">
        <v>139</v>
      </c>
      <c r="N35">
        <v>0</v>
      </c>
      <c r="O35">
        <v>0</v>
      </c>
      <c r="P35" t="s">
        <v>139</v>
      </c>
      <c r="Q35">
        <v>0</v>
      </c>
      <c r="R35" t="s">
        <v>947</v>
      </c>
      <c r="S35" t="s">
        <v>91</v>
      </c>
      <c r="T35" t="s">
        <v>91</v>
      </c>
      <c r="U35" s="144" t="s">
        <v>292</v>
      </c>
    </row>
    <row r="36" spans="1:21">
      <c r="A36">
        <v>35</v>
      </c>
      <c r="B36" t="s">
        <v>219</v>
      </c>
      <c r="C36" t="s">
        <v>106</v>
      </c>
      <c r="D36" t="s">
        <v>995</v>
      </c>
      <c r="E36" t="s">
        <v>22</v>
      </c>
      <c r="F36" t="s">
        <v>26</v>
      </c>
      <c r="G36" t="s">
        <v>129</v>
      </c>
      <c r="H36" t="s">
        <v>129</v>
      </c>
      <c r="I36">
        <v>1970</v>
      </c>
      <c r="J36" t="s">
        <v>91</v>
      </c>
      <c r="K36" t="s">
        <v>91</v>
      </c>
      <c r="M36" t="s">
        <v>91</v>
      </c>
      <c r="N36">
        <v>1</v>
      </c>
      <c r="O36">
        <v>0</v>
      </c>
      <c r="P36" t="s">
        <v>139</v>
      </c>
      <c r="Q36">
        <v>0</v>
      </c>
      <c r="R36" t="s">
        <v>947</v>
      </c>
      <c r="S36" t="s">
        <v>91</v>
      </c>
      <c r="T36" t="s">
        <v>91</v>
      </c>
      <c r="U36" s="144"/>
    </row>
    <row r="37" spans="1:21">
      <c r="A37">
        <v>36</v>
      </c>
      <c r="B37" t="s">
        <v>219</v>
      </c>
      <c r="C37" t="s">
        <v>108</v>
      </c>
      <c r="D37" t="s">
        <v>997</v>
      </c>
      <c r="E37" t="s">
        <v>22</v>
      </c>
      <c r="F37" t="s">
        <v>26</v>
      </c>
      <c r="G37" t="s">
        <v>129</v>
      </c>
      <c r="H37" t="s">
        <v>129</v>
      </c>
      <c r="I37">
        <v>2001</v>
      </c>
      <c r="J37" t="s">
        <v>139</v>
      </c>
      <c r="K37" t="s">
        <v>91</v>
      </c>
      <c r="M37" t="s">
        <v>998</v>
      </c>
      <c r="N37">
        <v>0</v>
      </c>
      <c r="O37">
        <v>0</v>
      </c>
      <c r="P37" t="s">
        <v>91</v>
      </c>
      <c r="Q37">
        <v>1</v>
      </c>
      <c r="R37" t="s">
        <v>999</v>
      </c>
      <c r="S37" t="s">
        <v>91</v>
      </c>
      <c r="T37" t="s">
        <v>139</v>
      </c>
      <c r="U37" s="144"/>
    </row>
    <row r="38" spans="1:21">
      <c r="A38">
        <v>37</v>
      </c>
      <c r="B38" t="s">
        <v>219</v>
      </c>
      <c r="C38" t="s">
        <v>109</v>
      </c>
      <c r="D38" t="s">
        <v>1000</v>
      </c>
      <c r="E38" t="s">
        <v>22</v>
      </c>
      <c r="F38" t="s">
        <v>26</v>
      </c>
      <c r="G38" t="s">
        <v>129</v>
      </c>
      <c r="H38" t="s">
        <v>129</v>
      </c>
      <c r="I38" t="s">
        <v>249</v>
      </c>
      <c r="J38" t="s">
        <v>139</v>
      </c>
      <c r="K38" t="s">
        <v>91</v>
      </c>
      <c r="M38" t="s">
        <v>139</v>
      </c>
      <c r="N38">
        <v>0</v>
      </c>
      <c r="O38">
        <v>0</v>
      </c>
      <c r="P38" t="s">
        <v>139</v>
      </c>
      <c r="Q38">
        <v>0</v>
      </c>
      <c r="R38" t="s">
        <v>947</v>
      </c>
      <c r="S38" t="s">
        <v>139</v>
      </c>
      <c r="T38">
        <v>0</v>
      </c>
      <c r="U38" s="144"/>
    </row>
    <row r="39" spans="1:21">
      <c r="A39">
        <v>38</v>
      </c>
      <c r="B39" t="s">
        <v>219</v>
      </c>
      <c r="C39" t="s">
        <v>110</v>
      </c>
      <c r="D39" t="s">
        <v>1001</v>
      </c>
      <c r="E39" t="s">
        <v>22</v>
      </c>
      <c r="F39" t="s">
        <v>26</v>
      </c>
      <c r="G39" t="s">
        <v>129</v>
      </c>
      <c r="H39" t="s">
        <v>129</v>
      </c>
      <c r="I39">
        <v>1991</v>
      </c>
      <c r="J39" t="s">
        <v>139</v>
      </c>
      <c r="K39" t="s">
        <v>91</v>
      </c>
      <c r="M39" t="s">
        <v>139</v>
      </c>
      <c r="N39">
        <v>0</v>
      </c>
      <c r="O39">
        <v>0</v>
      </c>
      <c r="P39" t="s">
        <v>139</v>
      </c>
      <c r="Q39">
        <v>0</v>
      </c>
      <c r="R39" t="s">
        <v>1002</v>
      </c>
      <c r="S39" t="s">
        <v>91</v>
      </c>
      <c r="T39" t="s">
        <v>91</v>
      </c>
      <c r="U39" s="144"/>
    </row>
    <row r="40" spans="1:21">
      <c r="A40">
        <v>39</v>
      </c>
      <c r="B40" t="s">
        <v>219</v>
      </c>
      <c r="C40" t="s">
        <v>111</v>
      </c>
      <c r="D40" t="s">
        <v>1003</v>
      </c>
      <c r="E40" t="s">
        <v>22</v>
      </c>
      <c r="F40" t="s">
        <v>26</v>
      </c>
      <c r="G40" t="s">
        <v>129</v>
      </c>
      <c r="H40" t="s">
        <v>129</v>
      </c>
      <c r="I40">
        <v>1973</v>
      </c>
      <c r="J40" t="s">
        <v>91</v>
      </c>
      <c r="K40" t="s">
        <v>91</v>
      </c>
      <c r="M40" t="s">
        <v>1004</v>
      </c>
      <c r="N40">
        <v>1</v>
      </c>
      <c r="O40">
        <v>0</v>
      </c>
      <c r="P40" t="s">
        <v>91</v>
      </c>
      <c r="Q40">
        <v>1</v>
      </c>
      <c r="R40" t="s">
        <v>947</v>
      </c>
      <c r="S40" t="s">
        <v>91</v>
      </c>
      <c r="T40" t="s">
        <v>91</v>
      </c>
      <c r="U40" s="144"/>
    </row>
    <row r="41" spans="1:21">
      <c r="A41">
        <v>40</v>
      </c>
      <c r="B41" t="s">
        <v>219</v>
      </c>
      <c r="C41" t="s">
        <v>113</v>
      </c>
      <c r="D41" t="s">
        <v>1007</v>
      </c>
      <c r="E41" t="s">
        <v>22</v>
      </c>
      <c r="F41" t="s">
        <v>26</v>
      </c>
      <c r="G41" t="s">
        <v>129</v>
      </c>
      <c r="H41" t="s">
        <v>133</v>
      </c>
      <c r="I41">
        <v>1980</v>
      </c>
      <c r="J41" t="s">
        <v>91</v>
      </c>
      <c r="K41" t="s">
        <v>91</v>
      </c>
      <c r="M41" t="s">
        <v>91</v>
      </c>
      <c r="N41">
        <v>1</v>
      </c>
      <c r="O41">
        <v>0</v>
      </c>
      <c r="P41" t="s">
        <v>91</v>
      </c>
      <c r="Q41">
        <v>1</v>
      </c>
      <c r="R41" t="s">
        <v>947</v>
      </c>
      <c r="S41" t="s">
        <v>139</v>
      </c>
      <c r="T41" t="s">
        <v>91</v>
      </c>
      <c r="U41" s="144"/>
    </row>
    <row r="42" spans="1:21">
      <c r="A42">
        <v>41</v>
      </c>
      <c r="B42" t="s">
        <v>219</v>
      </c>
      <c r="C42" t="s">
        <v>114</v>
      </c>
      <c r="D42" t="s">
        <v>1008</v>
      </c>
      <c r="E42" t="s">
        <v>22</v>
      </c>
      <c r="F42" t="s">
        <v>26</v>
      </c>
      <c r="G42" t="s">
        <v>129</v>
      </c>
      <c r="H42" t="s">
        <v>138</v>
      </c>
      <c r="I42" t="s">
        <v>250</v>
      </c>
      <c r="J42" t="s">
        <v>139</v>
      </c>
      <c r="K42" t="s">
        <v>91</v>
      </c>
      <c r="M42" t="s">
        <v>1009</v>
      </c>
      <c r="N42">
        <v>0</v>
      </c>
      <c r="O42">
        <v>0</v>
      </c>
      <c r="P42" t="s">
        <v>1010</v>
      </c>
      <c r="Q42">
        <v>1</v>
      </c>
      <c r="R42" t="s">
        <v>1011</v>
      </c>
      <c r="S42" t="s">
        <v>1012</v>
      </c>
      <c r="T42" t="s">
        <v>139</v>
      </c>
      <c r="U42" s="144"/>
    </row>
    <row r="43" spans="1:21">
      <c r="A43">
        <v>42</v>
      </c>
      <c r="B43" t="s">
        <v>219</v>
      </c>
      <c r="C43" t="s">
        <v>117</v>
      </c>
      <c r="D43" t="s">
        <v>1015</v>
      </c>
      <c r="E43" t="s">
        <v>22</v>
      </c>
      <c r="F43" t="s">
        <v>26</v>
      </c>
      <c r="G43" t="s">
        <v>129</v>
      </c>
      <c r="H43" t="s">
        <v>136</v>
      </c>
      <c r="I43" t="s">
        <v>251</v>
      </c>
      <c r="J43" t="s">
        <v>91</v>
      </c>
      <c r="K43" t="s">
        <v>91</v>
      </c>
      <c r="M43" t="s">
        <v>91</v>
      </c>
      <c r="N43">
        <v>1</v>
      </c>
      <c r="O43">
        <v>0</v>
      </c>
      <c r="P43" t="s">
        <v>91</v>
      </c>
      <c r="Q43">
        <v>1</v>
      </c>
      <c r="R43" t="s">
        <v>947</v>
      </c>
      <c r="S43" t="s">
        <v>91</v>
      </c>
      <c r="T43" t="s">
        <v>91</v>
      </c>
      <c r="U43" s="144"/>
    </row>
    <row r="44" spans="1:21">
      <c r="A44">
        <v>43</v>
      </c>
      <c r="B44" t="s">
        <v>219</v>
      </c>
      <c r="C44" t="s">
        <v>118</v>
      </c>
      <c r="D44" t="s">
        <v>1016</v>
      </c>
      <c r="E44" t="s">
        <v>22</v>
      </c>
      <c r="F44" t="s">
        <v>26</v>
      </c>
      <c r="G44" t="s">
        <v>129</v>
      </c>
      <c r="H44" t="s">
        <v>137</v>
      </c>
      <c r="I44">
        <v>1992</v>
      </c>
      <c r="J44" t="s">
        <v>139</v>
      </c>
      <c r="K44" t="s">
        <v>91</v>
      </c>
      <c r="M44" t="s">
        <v>139</v>
      </c>
      <c r="N44">
        <v>0</v>
      </c>
      <c r="O44">
        <v>0</v>
      </c>
      <c r="P44" t="s">
        <v>139</v>
      </c>
      <c r="Q44">
        <v>0</v>
      </c>
      <c r="R44" t="s">
        <v>951</v>
      </c>
      <c r="S44" t="s">
        <v>91</v>
      </c>
      <c r="T44" t="s">
        <v>91</v>
      </c>
      <c r="U44" s="144"/>
    </row>
    <row r="45" spans="1:21">
      <c r="A45">
        <v>44</v>
      </c>
      <c r="B45" t="s">
        <v>219</v>
      </c>
      <c r="C45" t="s">
        <v>119</v>
      </c>
      <c r="D45" t="s">
        <v>1017</v>
      </c>
      <c r="E45" t="s">
        <v>22</v>
      </c>
      <c r="F45" t="s">
        <v>26</v>
      </c>
      <c r="G45" t="s">
        <v>129</v>
      </c>
      <c r="H45" t="s">
        <v>141</v>
      </c>
      <c r="I45">
        <v>1985</v>
      </c>
      <c r="J45" t="s">
        <v>91</v>
      </c>
      <c r="K45" t="s">
        <v>91</v>
      </c>
      <c r="M45" t="s">
        <v>91</v>
      </c>
      <c r="N45">
        <v>1</v>
      </c>
      <c r="O45">
        <v>0</v>
      </c>
      <c r="P45" t="s">
        <v>91</v>
      </c>
      <c r="Q45">
        <v>1</v>
      </c>
      <c r="R45" t="s">
        <v>947</v>
      </c>
      <c r="S45" t="s">
        <v>139</v>
      </c>
      <c r="T45" t="s">
        <v>139</v>
      </c>
      <c r="U45" s="144"/>
    </row>
    <row r="46" spans="1:21">
      <c r="A46">
        <v>45</v>
      </c>
      <c r="B46" t="s">
        <v>219</v>
      </c>
      <c r="C46" t="s">
        <v>112</v>
      </c>
      <c r="D46" t="s">
        <v>1005</v>
      </c>
      <c r="E46" t="s">
        <v>22</v>
      </c>
      <c r="F46" t="s">
        <v>26</v>
      </c>
      <c r="G46" t="s">
        <v>131</v>
      </c>
      <c r="H46" t="s">
        <v>132</v>
      </c>
      <c r="I46">
        <v>2000</v>
      </c>
      <c r="J46" t="s">
        <v>139</v>
      </c>
      <c r="K46" t="s">
        <v>91</v>
      </c>
      <c r="M46" t="s">
        <v>139</v>
      </c>
      <c r="N46">
        <v>0</v>
      </c>
      <c r="O46">
        <v>0</v>
      </c>
      <c r="P46" t="s">
        <v>91</v>
      </c>
      <c r="Q46">
        <v>1</v>
      </c>
      <c r="R46" t="s">
        <v>947</v>
      </c>
      <c r="S46" t="s">
        <v>1006</v>
      </c>
      <c r="T46" t="s">
        <v>91</v>
      </c>
      <c r="U46" s="144"/>
    </row>
    <row r="47" spans="1:21">
      <c r="A47">
        <v>46</v>
      </c>
      <c r="B47" t="s">
        <v>219</v>
      </c>
      <c r="C47" t="s">
        <v>115</v>
      </c>
      <c r="D47" t="s">
        <v>1013</v>
      </c>
      <c r="E47" t="s">
        <v>22</v>
      </c>
      <c r="F47" t="s">
        <v>26</v>
      </c>
      <c r="G47" t="s">
        <v>131</v>
      </c>
      <c r="H47" t="s">
        <v>134</v>
      </c>
      <c r="I47">
        <v>1988</v>
      </c>
      <c r="J47" t="s">
        <v>139</v>
      </c>
      <c r="K47" t="s">
        <v>91</v>
      </c>
      <c r="M47" t="s">
        <v>139</v>
      </c>
      <c r="N47">
        <v>0</v>
      </c>
      <c r="O47">
        <v>0</v>
      </c>
      <c r="P47" t="s">
        <v>139</v>
      </c>
      <c r="Q47">
        <v>0</v>
      </c>
      <c r="R47" t="s">
        <v>844</v>
      </c>
      <c r="S47" t="s">
        <v>139</v>
      </c>
      <c r="T47" t="s">
        <v>91</v>
      </c>
      <c r="U47" s="144"/>
    </row>
    <row r="48" spans="1:21">
      <c r="A48">
        <v>47</v>
      </c>
      <c r="B48" t="s">
        <v>219</v>
      </c>
      <c r="C48" t="s">
        <v>116</v>
      </c>
      <c r="D48" t="s">
        <v>1014</v>
      </c>
      <c r="E48" t="s">
        <v>22</v>
      </c>
      <c r="F48" t="s">
        <v>26</v>
      </c>
      <c r="G48" t="s">
        <v>131</v>
      </c>
      <c r="H48" t="s">
        <v>135</v>
      </c>
      <c r="I48">
        <v>1975</v>
      </c>
      <c r="J48" t="s">
        <v>91</v>
      </c>
      <c r="K48" t="s">
        <v>91</v>
      </c>
      <c r="M48" t="s">
        <v>91</v>
      </c>
      <c r="N48">
        <v>1</v>
      </c>
      <c r="O48">
        <v>0</v>
      </c>
      <c r="P48" t="s">
        <v>91</v>
      </c>
      <c r="Q48">
        <v>1</v>
      </c>
      <c r="R48" t="s">
        <v>947</v>
      </c>
      <c r="S48" t="s">
        <v>91</v>
      </c>
      <c r="T48" t="s">
        <v>139</v>
      </c>
      <c r="U48" s="144"/>
    </row>
    <row r="49" spans="1:21">
      <c r="A49">
        <v>48</v>
      </c>
      <c r="B49" t="s">
        <v>219</v>
      </c>
      <c r="C49" t="s">
        <v>107</v>
      </c>
      <c r="D49" t="s">
        <v>996</v>
      </c>
      <c r="E49" t="s">
        <v>22</v>
      </c>
      <c r="F49" t="s">
        <v>26</v>
      </c>
      <c r="G49" t="s">
        <v>130</v>
      </c>
      <c r="H49" t="s">
        <v>130</v>
      </c>
      <c r="I49" t="s">
        <v>255</v>
      </c>
      <c r="J49" t="s">
        <v>91</v>
      </c>
      <c r="K49" t="s">
        <v>91</v>
      </c>
      <c r="M49" t="s">
        <v>139</v>
      </c>
      <c r="N49">
        <v>0</v>
      </c>
      <c r="O49">
        <v>0</v>
      </c>
      <c r="P49" t="s">
        <v>91</v>
      </c>
      <c r="Q49">
        <v>1</v>
      </c>
      <c r="R49" t="s">
        <v>947</v>
      </c>
      <c r="S49" t="s">
        <v>91</v>
      </c>
      <c r="T49" t="s">
        <v>91</v>
      </c>
      <c r="U49" s="144"/>
    </row>
    <row r="50" spans="1:21">
      <c r="A50">
        <v>49</v>
      </c>
      <c r="B50" t="s">
        <v>219</v>
      </c>
      <c r="C50" t="s">
        <v>120</v>
      </c>
      <c r="D50" t="s">
        <v>1018</v>
      </c>
      <c r="E50" t="s">
        <v>85</v>
      </c>
      <c r="F50" t="s">
        <v>26</v>
      </c>
      <c r="G50" t="s">
        <v>131</v>
      </c>
      <c r="H50" t="s">
        <v>135</v>
      </c>
      <c r="I50">
        <v>1954</v>
      </c>
      <c r="J50" t="s">
        <v>91</v>
      </c>
      <c r="K50" t="s">
        <v>91</v>
      </c>
      <c r="M50" t="s">
        <v>91</v>
      </c>
      <c r="N50">
        <v>1</v>
      </c>
      <c r="O50">
        <v>0</v>
      </c>
      <c r="P50" t="s">
        <v>91</v>
      </c>
      <c r="Q50">
        <v>1</v>
      </c>
      <c r="R50" t="s">
        <v>951</v>
      </c>
      <c r="S50" t="s">
        <v>91</v>
      </c>
      <c r="T50" t="s">
        <v>139</v>
      </c>
      <c r="U50" s="144"/>
    </row>
    <row r="51" spans="1:21">
      <c r="A51">
        <v>50</v>
      </c>
      <c r="B51" t="s">
        <v>219</v>
      </c>
      <c r="C51" t="s">
        <v>252</v>
      </c>
      <c r="D51" t="s">
        <v>1021</v>
      </c>
      <c r="E51" t="s">
        <v>86</v>
      </c>
      <c r="F51" t="s">
        <v>26</v>
      </c>
      <c r="G51" t="s">
        <v>129</v>
      </c>
      <c r="H51" t="s">
        <v>129</v>
      </c>
      <c r="I51">
        <v>1985</v>
      </c>
      <c r="J51" t="s">
        <v>139</v>
      </c>
      <c r="K51" t="s">
        <v>91</v>
      </c>
      <c r="M51" t="s">
        <v>1022</v>
      </c>
      <c r="N51">
        <v>1</v>
      </c>
      <c r="O51">
        <v>0</v>
      </c>
      <c r="P51" t="s">
        <v>139</v>
      </c>
      <c r="Q51">
        <v>0</v>
      </c>
      <c r="R51" t="s">
        <v>977</v>
      </c>
      <c r="S51" t="s">
        <v>91</v>
      </c>
      <c r="T51" t="s">
        <v>91</v>
      </c>
      <c r="U51" s="144"/>
    </row>
    <row r="52" spans="1:21">
      <c r="A52">
        <v>51</v>
      </c>
      <c r="B52" t="s">
        <v>219</v>
      </c>
      <c r="C52" t="s">
        <v>121</v>
      </c>
      <c r="D52" t="s">
        <v>1019</v>
      </c>
      <c r="E52" t="s">
        <v>86</v>
      </c>
      <c r="F52" t="s">
        <v>26</v>
      </c>
      <c r="G52" t="s">
        <v>131</v>
      </c>
      <c r="H52" t="s">
        <v>135</v>
      </c>
      <c r="I52">
        <v>1998</v>
      </c>
      <c r="J52" t="s">
        <v>139</v>
      </c>
      <c r="K52" t="s">
        <v>91</v>
      </c>
      <c r="M52" t="s">
        <v>139</v>
      </c>
      <c r="N52">
        <v>0</v>
      </c>
      <c r="O52">
        <v>0</v>
      </c>
      <c r="P52" t="s">
        <v>139</v>
      </c>
      <c r="Q52">
        <v>0</v>
      </c>
      <c r="R52" t="s">
        <v>947</v>
      </c>
      <c r="S52" t="s">
        <v>91</v>
      </c>
      <c r="T52" t="s">
        <v>139</v>
      </c>
      <c r="U52" s="144"/>
    </row>
    <row r="53" spans="1:21">
      <c r="A53">
        <v>52</v>
      </c>
      <c r="B53" t="s">
        <v>219</v>
      </c>
      <c r="C53" t="s">
        <v>122</v>
      </c>
      <c r="D53" t="s">
        <v>1020</v>
      </c>
      <c r="E53" t="s">
        <v>86</v>
      </c>
      <c r="F53" t="s">
        <v>26</v>
      </c>
      <c r="G53" t="s">
        <v>130</v>
      </c>
      <c r="H53" t="s">
        <v>130</v>
      </c>
      <c r="I53">
        <v>1970</v>
      </c>
      <c r="J53" t="s">
        <v>139</v>
      </c>
      <c r="K53" t="s">
        <v>139</v>
      </c>
      <c r="M53" t="s">
        <v>91</v>
      </c>
      <c r="N53">
        <v>1</v>
      </c>
      <c r="O53">
        <v>0</v>
      </c>
      <c r="P53" t="s">
        <v>91</v>
      </c>
      <c r="Q53">
        <v>1</v>
      </c>
      <c r="R53" t="s">
        <v>947</v>
      </c>
      <c r="S53" t="s">
        <v>139</v>
      </c>
      <c r="T53" t="s">
        <v>91</v>
      </c>
      <c r="U53" s="144"/>
    </row>
    <row r="54" spans="1:21">
      <c r="A54">
        <v>554</v>
      </c>
      <c r="B54" t="s">
        <v>219</v>
      </c>
      <c r="C54" t="s">
        <v>1591</v>
      </c>
      <c r="D54" t="s">
        <v>1590</v>
      </c>
      <c r="E54" t="s">
        <v>1592</v>
      </c>
      <c r="F54" t="s">
        <v>26</v>
      </c>
      <c r="G54" t="s">
        <v>129</v>
      </c>
      <c r="H54" t="s">
        <v>129</v>
      </c>
      <c r="U54" s="146" t="s">
        <v>39</v>
      </c>
    </row>
    <row r="55" spans="1:21">
      <c r="A55">
        <v>53</v>
      </c>
      <c r="B55" t="s">
        <v>219</v>
      </c>
      <c r="C55" t="s">
        <v>123</v>
      </c>
      <c r="D55" t="s">
        <v>1023</v>
      </c>
      <c r="E55" t="s">
        <v>23</v>
      </c>
      <c r="F55" t="s">
        <v>26</v>
      </c>
      <c r="G55" t="s">
        <v>129</v>
      </c>
      <c r="H55" t="s">
        <v>129</v>
      </c>
      <c r="I55">
        <v>1970</v>
      </c>
      <c r="J55" t="s">
        <v>91</v>
      </c>
      <c r="K55" t="s">
        <v>91</v>
      </c>
      <c r="M55" t="s">
        <v>1024</v>
      </c>
      <c r="N55">
        <v>0</v>
      </c>
      <c r="O55">
        <v>1</v>
      </c>
      <c r="P55" t="s">
        <v>91</v>
      </c>
      <c r="Q55">
        <v>1</v>
      </c>
      <c r="R55" t="s">
        <v>947</v>
      </c>
      <c r="S55" t="s">
        <v>91</v>
      </c>
      <c r="T55" t="s">
        <v>91</v>
      </c>
      <c r="U55" s="144"/>
    </row>
    <row r="56" spans="1:21">
      <c r="A56">
        <v>54</v>
      </c>
      <c r="B56" t="s">
        <v>219</v>
      </c>
      <c r="C56" t="s">
        <v>125</v>
      </c>
      <c r="D56" t="s">
        <v>1027</v>
      </c>
      <c r="E56" t="s">
        <v>23</v>
      </c>
      <c r="F56" t="s">
        <v>26</v>
      </c>
      <c r="G56" t="s">
        <v>129</v>
      </c>
      <c r="H56" t="s">
        <v>129</v>
      </c>
      <c r="I56">
        <v>2009</v>
      </c>
      <c r="J56" t="s">
        <v>139</v>
      </c>
      <c r="K56" t="s">
        <v>91</v>
      </c>
      <c r="M56" t="s">
        <v>139</v>
      </c>
      <c r="N56">
        <v>0</v>
      </c>
      <c r="O56">
        <v>0</v>
      </c>
      <c r="P56" t="s">
        <v>139</v>
      </c>
      <c r="Q56">
        <v>0</v>
      </c>
      <c r="R56" t="s">
        <v>1028</v>
      </c>
      <c r="S56" t="s">
        <v>91</v>
      </c>
      <c r="T56" t="s">
        <v>139</v>
      </c>
      <c r="U56" s="144"/>
    </row>
    <row r="57" spans="1:21">
      <c r="A57">
        <v>55</v>
      </c>
      <c r="B57" t="s">
        <v>219</v>
      </c>
      <c r="C57" t="s">
        <v>126</v>
      </c>
      <c r="D57" t="s">
        <v>1029</v>
      </c>
      <c r="E57" t="s">
        <v>23</v>
      </c>
      <c r="F57" t="s">
        <v>26</v>
      </c>
      <c r="G57" t="s">
        <v>129</v>
      </c>
      <c r="H57" t="s">
        <v>129</v>
      </c>
      <c r="I57">
        <v>1973</v>
      </c>
      <c r="J57" t="s">
        <v>91</v>
      </c>
      <c r="K57" t="s">
        <v>91</v>
      </c>
      <c r="M57" t="s">
        <v>1030</v>
      </c>
      <c r="N57">
        <v>1</v>
      </c>
      <c r="O57">
        <v>0</v>
      </c>
      <c r="P57" t="s">
        <v>91</v>
      </c>
      <c r="Q57">
        <v>1</v>
      </c>
      <c r="R57" t="s">
        <v>947</v>
      </c>
      <c r="S57" t="s">
        <v>91</v>
      </c>
      <c r="T57" t="s">
        <v>91</v>
      </c>
      <c r="U57" s="144"/>
    </row>
    <row r="58" spans="1:21">
      <c r="A58">
        <v>56</v>
      </c>
      <c r="B58" t="s">
        <v>219</v>
      </c>
      <c r="C58" t="s">
        <v>127</v>
      </c>
      <c r="D58" t="s">
        <v>1031</v>
      </c>
      <c r="E58" t="s">
        <v>23</v>
      </c>
      <c r="F58" t="s">
        <v>26</v>
      </c>
      <c r="G58" t="s">
        <v>129</v>
      </c>
      <c r="H58" t="s">
        <v>133</v>
      </c>
      <c r="I58" t="s">
        <v>253</v>
      </c>
      <c r="J58" t="s">
        <v>91</v>
      </c>
      <c r="K58" t="s">
        <v>91</v>
      </c>
      <c r="M58" t="s">
        <v>91</v>
      </c>
      <c r="N58">
        <v>1</v>
      </c>
      <c r="O58">
        <v>0</v>
      </c>
      <c r="P58" t="s">
        <v>91</v>
      </c>
      <c r="Q58">
        <v>1</v>
      </c>
      <c r="R58" t="s">
        <v>947</v>
      </c>
      <c r="S58" t="s">
        <v>91</v>
      </c>
      <c r="T58" t="s">
        <v>91</v>
      </c>
      <c r="U58" s="144"/>
    </row>
    <row r="59" spans="1:21">
      <c r="A59">
        <v>57</v>
      </c>
      <c r="B59" t="s">
        <v>219</v>
      </c>
      <c r="C59" t="s">
        <v>124</v>
      </c>
      <c r="D59" t="s">
        <v>1025</v>
      </c>
      <c r="E59" t="s">
        <v>23</v>
      </c>
      <c r="F59" t="s">
        <v>26</v>
      </c>
      <c r="G59" t="s">
        <v>131</v>
      </c>
      <c r="H59" t="s">
        <v>135</v>
      </c>
      <c r="I59">
        <v>1976</v>
      </c>
      <c r="J59" t="s">
        <v>139</v>
      </c>
      <c r="K59" t="s">
        <v>91</v>
      </c>
      <c r="M59" t="s">
        <v>1026</v>
      </c>
      <c r="N59">
        <v>0</v>
      </c>
      <c r="O59">
        <v>0</v>
      </c>
      <c r="P59" t="s">
        <v>139</v>
      </c>
      <c r="Q59">
        <v>0</v>
      </c>
      <c r="R59" t="s">
        <v>947</v>
      </c>
      <c r="S59" t="s">
        <v>139</v>
      </c>
      <c r="T59" t="s">
        <v>139</v>
      </c>
      <c r="U59" s="144"/>
    </row>
    <row r="60" spans="1:21">
      <c r="A60">
        <v>58</v>
      </c>
      <c r="B60" t="s">
        <v>219</v>
      </c>
      <c r="C60" t="s">
        <v>128</v>
      </c>
      <c r="D60" t="s">
        <v>1032</v>
      </c>
      <c r="E60" t="s">
        <v>23</v>
      </c>
      <c r="F60" t="s">
        <v>26</v>
      </c>
      <c r="G60" t="s">
        <v>130</v>
      </c>
      <c r="H60" t="s">
        <v>130</v>
      </c>
      <c r="I60" t="s">
        <v>254</v>
      </c>
      <c r="J60" t="s">
        <v>91</v>
      </c>
      <c r="K60" t="s">
        <v>91</v>
      </c>
      <c r="M60" t="s">
        <v>1033</v>
      </c>
      <c r="N60">
        <v>0</v>
      </c>
      <c r="O60">
        <v>0</v>
      </c>
      <c r="P60" t="s">
        <v>91</v>
      </c>
      <c r="Q60">
        <v>1</v>
      </c>
      <c r="R60" t="s">
        <v>1034</v>
      </c>
      <c r="S60" t="s">
        <v>139</v>
      </c>
      <c r="T60" t="s">
        <v>91</v>
      </c>
      <c r="U60" s="144"/>
    </row>
    <row r="61" spans="1:21">
      <c r="A61">
        <v>59</v>
      </c>
      <c r="B61" t="s">
        <v>220</v>
      </c>
      <c r="C61" t="s">
        <v>146</v>
      </c>
      <c r="D61" t="s">
        <v>1040</v>
      </c>
      <c r="E61" t="s">
        <v>22</v>
      </c>
      <c r="F61" t="s">
        <v>27</v>
      </c>
      <c r="G61" t="s">
        <v>226</v>
      </c>
      <c r="H61" t="s">
        <v>232</v>
      </c>
      <c r="I61">
        <v>1980</v>
      </c>
      <c r="J61">
        <v>1980</v>
      </c>
      <c r="K61" t="s">
        <v>91</v>
      </c>
      <c r="M61" t="s">
        <v>91</v>
      </c>
      <c r="N61">
        <v>1</v>
      </c>
      <c r="O61">
        <v>0</v>
      </c>
      <c r="P61" t="s">
        <v>91</v>
      </c>
      <c r="Q61">
        <v>1</v>
      </c>
      <c r="R61" t="s">
        <v>947</v>
      </c>
      <c r="S61" t="s">
        <v>139</v>
      </c>
      <c r="T61" t="s">
        <v>91</v>
      </c>
      <c r="U61" s="144"/>
    </row>
    <row r="62" spans="1:21">
      <c r="A62">
        <v>60</v>
      </c>
      <c r="B62" t="s">
        <v>220</v>
      </c>
      <c r="C62" t="s">
        <v>163</v>
      </c>
      <c r="D62" t="s">
        <v>1062</v>
      </c>
      <c r="E62" t="s">
        <v>22</v>
      </c>
      <c r="F62" t="s">
        <v>27</v>
      </c>
      <c r="G62" t="s">
        <v>228</v>
      </c>
      <c r="H62" t="s">
        <v>245</v>
      </c>
      <c r="I62" t="s">
        <v>210</v>
      </c>
      <c r="J62" t="s">
        <v>210</v>
      </c>
      <c r="K62" t="s">
        <v>91</v>
      </c>
      <c r="M62" t="s">
        <v>91</v>
      </c>
      <c r="N62">
        <v>1</v>
      </c>
      <c r="O62">
        <v>0</v>
      </c>
      <c r="P62" t="s">
        <v>91</v>
      </c>
      <c r="Q62">
        <v>1</v>
      </c>
      <c r="R62" t="s">
        <v>947</v>
      </c>
      <c r="S62" t="s">
        <v>139</v>
      </c>
      <c r="T62" t="s">
        <v>91</v>
      </c>
      <c r="U62" s="144"/>
    </row>
    <row r="63" spans="1:21">
      <c r="A63">
        <v>61</v>
      </c>
      <c r="B63" t="s">
        <v>220</v>
      </c>
      <c r="C63" t="s">
        <v>165</v>
      </c>
      <c r="D63" t="s">
        <v>1065</v>
      </c>
      <c r="E63" t="s">
        <v>22</v>
      </c>
      <c r="F63" t="s">
        <v>27</v>
      </c>
      <c r="G63" t="s">
        <v>228</v>
      </c>
      <c r="H63" t="s">
        <v>236</v>
      </c>
      <c r="I63">
        <v>1993</v>
      </c>
      <c r="J63">
        <v>1993</v>
      </c>
      <c r="K63" t="s">
        <v>91</v>
      </c>
      <c r="M63" t="s">
        <v>139</v>
      </c>
      <c r="N63">
        <v>0</v>
      </c>
      <c r="O63">
        <v>0</v>
      </c>
      <c r="P63" t="s">
        <v>91</v>
      </c>
      <c r="Q63">
        <v>1</v>
      </c>
      <c r="R63" t="s">
        <v>1066</v>
      </c>
      <c r="S63" t="s">
        <v>91</v>
      </c>
      <c r="T63" t="s">
        <v>139</v>
      </c>
      <c r="U63" s="144"/>
    </row>
    <row r="64" spans="1:21">
      <c r="A64">
        <v>62</v>
      </c>
      <c r="B64" t="s">
        <v>220</v>
      </c>
      <c r="C64" t="s">
        <v>166</v>
      </c>
      <c r="D64" t="s">
        <v>1067</v>
      </c>
      <c r="E64" t="s">
        <v>22</v>
      </c>
      <c r="F64" t="s">
        <v>27</v>
      </c>
      <c r="G64" t="s">
        <v>228</v>
      </c>
      <c r="H64" t="s">
        <v>228</v>
      </c>
      <c r="I64">
        <v>1977</v>
      </c>
      <c r="J64">
        <v>1977</v>
      </c>
      <c r="K64" t="s">
        <v>91</v>
      </c>
      <c r="M64" t="s">
        <v>91</v>
      </c>
      <c r="N64">
        <v>1</v>
      </c>
      <c r="O64">
        <v>0</v>
      </c>
      <c r="P64" t="s">
        <v>91</v>
      </c>
      <c r="Q64">
        <v>1</v>
      </c>
      <c r="R64" t="s">
        <v>947</v>
      </c>
      <c r="S64" t="s">
        <v>1068</v>
      </c>
      <c r="T64" t="s">
        <v>91</v>
      </c>
      <c r="U64" s="144"/>
    </row>
    <row r="65" spans="1:21">
      <c r="A65">
        <v>63</v>
      </c>
      <c r="B65" t="s">
        <v>220</v>
      </c>
      <c r="C65" t="s">
        <v>142</v>
      </c>
      <c r="D65" t="s">
        <v>1035</v>
      </c>
      <c r="E65" t="s">
        <v>22</v>
      </c>
      <c r="F65" t="s">
        <v>27</v>
      </c>
      <c r="G65" t="s">
        <v>224</v>
      </c>
      <c r="H65" t="s">
        <v>230</v>
      </c>
      <c r="I65">
        <v>1979</v>
      </c>
      <c r="J65">
        <v>1979</v>
      </c>
      <c r="K65" t="s">
        <v>91</v>
      </c>
      <c r="M65" t="s">
        <v>91</v>
      </c>
      <c r="N65">
        <v>1</v>
      </c>
      <c r="O65">
        <v>0</v>
      </c>
      <c r="P65" t="s">
        <v>91</v>
      </c>
      <c r="Q65">
        <v>1</v>
      </c>
      <c r="R65" t="s">
        <v>947</v>
      </c>
      <c r="S65" t="s">
        <v>91</v>
      </c>
      <c r="T65" t="s">
        <v>91</v>
      </c>
      <c r="U65" s="144"/>
    </row>
    <row r="66" spans="1:21">
      <c r="A66">
        <v>64</v>
      </c>
      <c r="B66" t="s">
        <v>220</v>
      </c>
      <c r="C66" t="s">
        <v>143</v>
      </c>
      <c r="D66" t="s">
        <v>1036</v>
      </c>
      <c r="E66" t="s">
        <v>22</v>
      </c>
      <c r="F66" t="s">
        <v>27</v>
      </c>
      <c r="G66" t="s">
        <v>224</v>
      </c>
      <c r="H66" t="s">
        <v>230</v>
      </c>
      <c r="I66">
        <v>2005</v>
      </c>
      <c r="J66">
        <v>2005</v>
      </c>
      <c r="K66" t="s">
        <v>91</v>
      </c>
      <c r="M66" t="s">
        <v>139</v>
      </c>
      <c r="N66">
        <v>0</v>
      </c>
      <c r="O66">
        <v>0</v>
      </c>
      <c r="P66" t="s">
        <v>139</v>
      </c>
      <c r="Q66">
        <v>0</v>
      </c>
      <c r="R66" t="s">
        <v>947</v>
      </c>
      <c r="S66" t="s">
        <v>91</v>
      </c>
      <c r="T66" t="s">
        <v>139</v>
      </c>
      <c r="U66" s="144"/>
    </row>
    <row r="67" spans="1:21">
      <c r="A67">
        <v>65</v>
      </c>
      <c r="B67" t="s">
        <v>220</v>
      </c>
      <c r="C67" t="s">
        <v>144</v>
      </c>
      <c r="D67" t="s">
        <v>1037</v>
      </c>
      <c r="E67" t="s">
        <v>22</v>
      </c>
      <c r="F67" t="s">
        <v>27</v>
      </c>
      <c r="G67" t="s">
        <v>224</v>
      </c>
      <c r="H67" t="s">
        <v>230</v>
      </c>
      <c r="I67">
        <v>1905</v>
      </c>
      <c r="J67">
        <v>1905</v>
      </c>
      <c r="K67" t="s">
        <v>91</v>
      </c>
      <c r="M67" t="s">
        <v>91</v>
      </c>
      <c r="N67">
        <v>1</v>
      </c>
      <c r="O67">
        <v>0</v>
      </c>
      <c r="P67" t="s">
        <v>91</v>
      </c>
      <c r="Q67">
        <v>1</v>
      </c>
      <c r="R67" t="s">
        <v>947</v>
      </c>
      <c r="S67" t="s">
        <v>91</v>
      </c>
      <c r="T67">
        <v>0</v>
      </c>
      <c r="U67" s="144"/>
    </row>
    <row r="68" spans="1:21">
      <c r="A68">
        <v>66</v>
      </c>
      <c r="B68" t="s">
        <v>220</v>
      </c>
      <c r="C68" t="s">
        <v>147</v>
      </c>
      <c r="D68" t="s">
        <v>1041</v>
      </c>
      <c r="E68" t="s">
        <v>22</v>
      </c>
      <c r="F68" t="s">
        <v>27</v>
      </c>
      <c r="G68" t="s">
        <v>224</v>
      </c>
      <c r="H68" t="s">
        <v>230</v>
      </c>
      <c r="I68">
        <v>1992</v>
      </c>
      <c r="J68">
        <v>1992</v>
      </c>
      <c r="K68" t="s">
        <v>91</v>
      </c>
      <c r="M68" t="s">
        <v>91</v>
      </c>
      <c r="N68">
        <v>1</v>
      </c>
      <c r="O68">
        <v>0</v>
      </c>
      <c r="P68" t="s">
        <v>91</v>
      </c>
      <c r="Q68">
        <v>1</v>
      </c>
      <c r="R68" t="s">
        <v>1042</v>
      </c>
      <c r="S68" t="s">
        <v>91</v>
      </c>
      <c r="T68" t="s">
        <v>139</v>
      </c>
      <c r="U68" s="144"/>
    </row>
    <row r="69" spans="1:21">
      <c r="A69">
        <v>67</v>
      </c>
      <c r="B69" t="s">
        <v>220</v>
      </c>
      <c r="C69" t="s">
        <v>148</v>
      </c>
      <c r="D69" t="s">
        <v>1043</v>
      </c>
      <c r="E69" t="s">
        <v>22</v>
      </c>
      <c r="F69" t="s">
        <v>27</v>
      </c>
      <c r="G69" t="s">
        <v>224</v>
      </c>
      <c r="I69">
        <v>2010</v>
      </c>
      <c r="J69">
        <v>2010</v>
      </c>
      <c r="K69" t="s">
        <v>91</v>
      </c>
      <c r="M69" t="s">
        <v>139</v>
      </c>
      <c r="N69">
        <v>0</v>
      </c>
      <c r="O69">
        <v>0</v>
      </c>
      <c r="P69" t="s">
        <v>139</v>
      </c>
      <c r="Q69">
        <v>0</v>
      </c>
      <c r="R69" t="s">
        <v>1028</v>
      </c>
      <c r="S69" t="s">
        <v>91</v>
      </c>
      <c r="T69" t="s">
        <v>91</v>
      </c>
      <c r="U69" s="144"/>
    </row>
    <row r="70" spans="1:21">
      <c r="A70">
        <v>68</v>
      </c>
      <c r="B70" t="s">
        <v>220</v>
      </c>
      <c r="C70" t="s">
        <v>149</v>
      </c>
      <c r="D70" t="s">
        <v>1044</v>
      </c>
      <c r="E70" t="s">
        <v>22</v>
      </c>
      <c r="F70" t="s">
        <v>27</v>
      </c>
      <c r="G70" t="s">
        <v>224</v>
      </c>
      <c r="H70" t="s">
        <v>230</v>
      </c>
      <c r="I70">
        <v>1979</v>
      </c>
      <c r="J70">
        <v>1979</v>
      </c>
      <c r="K70" t="s">
        <v>91</v>
      </c>
      <c r="M70" t="s">
        <v>91</v>
      </c>
      <c r="N70">
        <v>1</v>
      </c>
      <c r="O70">
        <v>0</v>
      </c>
      <c r="P70" t="s">
        <v>91</v>
      </c>
      <c r="Q70">
        <v>1</v>
      </c>
      <c r="R70" t="s">
        <v>947</v>
      </c>
      <c r="S70" t="s">
        <v>91</v>
      </c>
      <c r="T70" t="s">
        <v>91</v>
      </c>
      <c r="U70" s="144"/>
    </row>
    <row r="71" spans="1:21">
      <c r="A71">
        <v>69</v>
      </c>
      <c r="B71" t="s">
        <v>220</v>
      </c>
      <c r="C71" t="s">
        <v>150</v>
      </c>
      <c r="D71" t="s">
        <v>1045</v>
      </c>
      <c r="E71" t="s">
        <v>22</v>
      </c>
      <c r="F71" t="s">
        <v>27</v>
      </c>
      <c r="G71" t="s">
        <v>224</v>
      </c>
      <c r="H71" t="s">
        <v>230</v>
      </c>
      <c r="I71" t="s">
        <v>205</v>
      </c>
      <c r="J71" t="s">
        <v>205</v>
      </c>
      <c r="K71" t="s">
        <v>91</v>
      </c>
      <c r="M71" t="s">
        <v>91</v>
      </c>
      <c r="N71">
        <v>1</v>
      </c>
      <c r="O71">
        <v>0</v>
      </c>
      <c r="P71" t="s">
        <v>91</v>
      </c>
      <c r="Q71">
        <v>1</v>
      </c>
      <c r="R71" t="s">
        <v>1046</v>
      </c>
      <c r="S71" t="s">
        <v>91</v>
      </c>
      <c r="T71" t="s">
        <v>139</v>
      </c>
      <c r="U71" s="144"/>
    </row>
    <row r="72" spans="1:21">
      <c r="A72">
        <v>70</v>
      </c>
      <c r="B72" t="s">
        <v>220</v>
      </c>
      <c r="C72" t="s">
        <v>151</v>
      </c>
      <c r="D72" t="s">
        <v>1047</v>
      </c>
      <c r="E72" t="s">
        <v>22</v>
      </c>
      <c r="F72" t="s">
        <v>27</v>
      </c>
      <c r="G72" t="s">
        <v>224</v>
      </c>
      <c r="H72" t="s">
        <v>230</v>
      </c>
      <c r="I72">
        <v>2009</v>
      </c>
      <c r="J72">
        <v>2009</v>
      </c>
      <c r="K72" t="s">
        <v>91</v>
      </c>
      <c r="M72" t="s">
        <v>139</v>
      </c>
      <c r="N72">
        <v>0</v>
      </c>
      <c r="O72">
        <v>0</v>
      </c>
      <c r="P72" t="s">
        <v>139</v>
      </c>
      <c r="Q72">
        <v>0</v>
      </c>
      <c r="R72" t="s">
        <v>977</v>
      </c>
      <c r="S72" t="s">
        <v>91</v>
      </c>
      <c r="T72" t="s">
        <v>91</v>
      </c>
      <c r="U72" s="144"/>
    </row>
    <row r="73" spans="1:21">
      <c r="A73">
        <v>71</v>
      </c>
      <c r="B73" t="s">
        <v>220</v>
      </c>
      <c r="C73" t="s">
        <v>152</v>
      </c>
      <c r="D73" t="s">
        <v>1048</v>
      </c>
      <c r="E73" t="s">
        <v>22</v>
      </c>
      <c r="F73" t="s">
        <v>27</v>
      </c>
      <c r="G73" t="s">
        <v>224</v>
      </c>
      <c r="H73" t="s">
        <v>230</v>
      </c>
      <c r="I73" t="s">
        <v>206</v>
      </c>
      <c r="J73" t="s">
        <v>206</v>
      </c>
      <c r="K73" t="s">
        <v>91</v>
      </c>
      <c r="M73" t="s">
        <v>91</v>
      </c>
      <c r="N73">
        <v>1</v>
      </c>
      <c r="O73">
        <v>0</v>
      </c>
      <c r="P73" t="s">
        <v>91</v>
      </c>
      <c r="Q73">
        <v>1</v>
      </c>
      <c r="R73" t="s">
        <v>947</v>
      </c>
      <c r="S73" t="s">
        <v>91</v>
      </c>
      <c r="T73" t="s">
        <v>91</v>
      </c>
      <c r="U73" s="144" t="s">
        <v>292</v>
      </c>
    </row>
    <row r="74" spans="1:21">
      <c r="A74">
        <v>72</v>
      </c>
      <c r="B74" t="s">
        <v>220</v>
      </c>
      <c r="C74" t="s">
        <v>153</v>
      </c>
      <c r="D74" t="s">
        <v>1049</v>
      </c>
      <c r="E74" t="s">
        <v>22</v>
      </c>
      <c r="F74" t="s">
        <v>27</v>
      </c>
      <c r="G74" t="s">
        <v>224</v>
      </c>
      <c r="H74" t="s">
        <v>230</v>
      </c>
      <c r="I74">
        <v>1983</v>
      </c>
      <c r="J74">
        <v>1983</v>
      </c>
      <c r="K74" t="s">
        <v>91</v>
      </c>
      <c r="M74" t="s">
        <v>139</v>
      </c>
      <c r="N74">
        <v>0</v>
      </c>
      <c r="O74">
        <v>0</v>
      </c>
      <c r="P74" t="s">
        <v>139</v>
      </c>
      <c r="Q74">
        <v>0</v>
      </c>
      <c r="R74" t="s">
        <v>947</v>
      </c>
      <c r="S74" t="s">
        <v>91</v>
      </c>
      <c r="T74" t="s">
        <v>139</v>
      </c>
      <c r="U74" s="144"/>
    </row>
    <row r="75" spans="1:21">
      <c r="A75">
        <v>73</v>
      </c>
      <c r="B75" t="s">
        <v>220</v>
      </c>
      <c r="C75" t="s">
        <v>154</v>
      </c>
      <c r="D75" t="s">
        <v>1050</v>
      </c>
      <c r="E75" t="s">
        <v>22</v>
      </c>
      <c r="F75" t="s">
        <v>27</v>
      </c>
      <c r="G75" t="s">
        <v>224</v>
      </c>
      <c r="H75" t="s">
        <v>230</v>
      </c>
      <c r="I75">
        <v>31198</v>
      </c>
      <c r="J75">
        <v>31198</v>
      </c>
      <c r="K75" t="s">
        <v>91</v>
      </c>
      <c r="M75" t="s">
        <v>91</v>
      </c>
      <c r="N75">
        <v>1</v>
      </c>
      <c r="O75">
        <v>0</v>
      </c>
      <c r="P75" t="s">
        <v>91</v>
      </c>
      <c r="Q75">
        <v>1</v>
      </c>
      <c r="R75" t="s">
        <v>1046</v>
      </c>
      <c r="S75" t="s">
        <v>91</v>
      </c>
      <c r="T75" t="s">
        <v>91</v>
      </c>
      <c r="U75" s="144"/>
    </row>
    <row r="76" spans="1:21">
      <c r="A76">
        <v>74</v>
      </c>
      <c r="B76" t="s">
        <v>220</v>
      </c>
      <c r="C76" t="s">
        <v>155</v>
      </c>
      <c r="D76" t="s">
        <v>1051</v>
      </c>
      <c r="E76" t="s">
        <v>22</v>
      </c>
      <c r="F76" t="s">
        <v>27</v>
      </c>
      <c r="G76" t="s">
        <v>224</v>
      </c>
      <c r="H76" t="s">
        <v>230</v>
      </c>
      <c r="I76">
        <v>1950</v>
      </c>
      <c r="J76">
        <v>1950</v>
      </c>
      <c r="K76" t="s">
        <v>91</v>
      </c>
      <c r="M76" t="s">
        <v>91</v>
      </c>
      <c r="N76">
        <v>1</v>
      </c>
      <c r="O76">
        <v>0</v>
      </c>
      <c r="P76" t="s">
        <v>91</v>
      </c>
      <c r="Q76">
        <v>1</v>
      </c>
      <c r="R76" t="s">
        <v>951</v>
      </c>
      <c r="S76" t="s">
        <v>91</v>
      </c>
      <c r="T76" t="s">
        <v>91</v>
      </c>
      <c r="U76" s="144"/>
    </row>
    <row r="77" spans="1:21">
      <c r="A77">
        <v>75</v>
      </c>
      <c r="B77" t="s">
        <v>220</v>
      </c>
      <c r="C77" t="s">
        <v>156</v>
      </c>
      <c r="D77" t="s">
        <v>1052</v>
      </c>
      <c r="E77" t="s">
        <v>22</v>
      </c>
      <c r="F77" t="s">
        <v>27</v>
      </c>
      <c r="G77" t="s">
        <v>224</v>
      </c>
      <c r="H77" t="s">
        <v>230</v>
      </c>
      <c r="I77">
        <v>1964</v>
      </c>
      <c r="J77">
        <v>1964</v>
      </c>
      <c r="K77" t="s">
        <v>91</v>
      </c>
      <c r="M77" t="s">
        <v>91</v>
      </c>
      <c r="N77">
        <v>1</v>
      </c>
      <c r="O77">
        <v>0</v>
      </c>
      <c r="P77" t="s">
        <v>91</v>
      </c>
      <c r="Q77">
        <v>1</v>
      </c>
      <c r="R77" t="s">
        <v>947</v>
      </c>
      <c r="S77" t="s">
        <v>139</v>
      </c>
      <c r="T77" t="s">
        <v>139</v>
      </c>
      <c r="U77" s="144"/>
    </row>
    <row r="78" spans="1:21">
      <c r="A78">
        <v>76</v>
      </c>
      <c r="B78" t="s">
        <v>220</v>
      </c>
      <c r="C78" t="s">
        <v>157</v>
      </c>
      <c r="D78" t="s">
        <v>1053</v>
      </c>
      <c r="E78" t="s">
        <v>22</v>
      </c>
      <c r="F78" t="s">
        <v>27</v>
      </c>
      <c r="G78" t="s">
        <v>224</v>
      </c>
      <c r="H78" t="s">
        <v>230</v>
      </c>
      <c r="I78">
        <v>1985</v>
      </c>
      <c r="J78">
        <v>1985</v>
      </c>
      <c r="K78" t="s">
        <v>91</v>
      </c>
      <c r="M78" t="s">
        <v>1054</v>
      </c>
      <c r="N78">
        <v>0</v>
      </c>
      <c r="O78">
        <v>0</v>
      </c>
      <c r="P78" t="s">
        <v>1055</v>
      </c>
      <c r="Q78">
        <v>1</v>
      </c>
      <c r="R78" t="s">
        <v>999</v>
      </c>
      <c r="S78" t="s">
        <v>91</v>
      </c>
      <c r="T78" t="s">
        <v>139</v>
      </c>
      <c r="U78" s="144" t="s">
        <v>292</v>
      </c>
    </row>
    <row r="79" spans="1:21">
      <c r="A79">
        <v>77</v>
      </c>
      <c r="B79" t="s">
        <v>220</v>
      </c>
      <c r="C79" t="s">
        <v>158</v>
      </c>
      <c r="D79" t="s">
        <v>1056</v>
      </c>
      <c r="E79" t="s">
        <v>22</v>
      </c>
      <c r="F79" t="s">
        <v>27</v>
      </c>
      <c r="G79" t="s">
        <v>224</v>
      </c>
      <c r="H79" t="s">
        <v>230</v>
      </c>
      <c r="I79" t="s">
        <v>207</v>
      </c>
      <c r="J79" t="s">
        <v>207</v>
      </c>
      <c r="K79" t="s">
        <v>91</v>
      </c>
      <c r="M79" t="s">
        <v>139</v>
      </c>
      <c r="N79">
        <v>0</v>
      </c>
      <c r="O79">
        <v>0</v>
      </c>
      <c r="P79" t="s">
        <v>139</v>
      </c>
      <c r="Q79">
        <v>0</v>
      </c>
      <c r="R79" t="s">
        <v>947</v>
      </c>
      <c r="S79" t="s">
        <v>91</v>
      </c>
      <c r="T79" t="s">
        <v>139</v>
      </c>
      <c r="U79" s="144"/>
    </row>
    <row r="80" spans="1:21">
      <c r="A80">
        <v>78</v>
      </c>
      <c r="B80" t="s">
        <v>220</v>
      </c>
      <c r="C80" t="s">
        <v>159</v>
      </c>
      <c r="D80" t="s">
        <v>1057</v>
      </c>
      <c r="E80" t="s">
        <v>22</v>
      </c>
      <c r="F80" t="s">
        <v>27</v>
      </c>
      <c r="G80" t="s">
        <v>224</v>
      </c>
      <c r="H80" t="s">
        <v>230</v>
      </c>
      <c r="I80" t="s">
        <v>208</v>
      </c>
      <c r="J80" t="s">
        <v>208</v>
      </c>
      <c r="K80" t="s">
        <v>91</v>
      </c>
      <c r="M80" t="s">
        <v>1058</v>
      </c>
      <c r="N80">
        <v>0</v>
      </c>
      <c r="O80">
        <v>0</v>
      </c>
      <c r="P80" t="s">
        <v>1058</v>
      </c>
      <c r="Q80">
        <v>0</v>
      </c>
      <c r="R80" t="s">
        <v>977</v>
      </c>
      <c r="S80" t="s">
        <v>91</v>
      </c>
      <c r="T80">
        <v>0</v>
      </c>
      <c r="U80" s="144"/>
    </row>
    <row r="81" spans="1:21">
      <c r="A81">
        <v>79</v>
      </c>
      <c r="B81" t="s">
        <v>220</v>
      </c>
      <c r="C81" t="s">
        <v>161</v>
      </c>
      <c r="D81" t="s">
        <v>1060</v>
      </c>
      <c r="E81" t="s">
        <v>22</v>
      </c>
      <c r="F81" t="s">
        <v>27</v>
      </c>
      <c r="G81" t="s">
        <v>224</v>
      </c>
      <c r="H81" t="s">
        <v>222</v>
      </c>
      <c r="I81">
        <v>32322</v>
      </c>
      <c r="J81">
        <v>32322</v>
      </c>
      <c r="K81" t="s">
        <v>91</v>
      </c>
      <c r="M81" t="s">
        <v>139</v>
      </c>
      <c r="N81">
        <v>0</v>
      </c>
      <c r="O81">
        <v>0</v>
      </c>
      <c r="P81" t="s">
        <v>91</v>
      </c>
      <c r="Q81">
        <v>1</v>
      </c>
      <c r="R81" t="s">
        <v>947</v>
      </c>
      <c r="S81" t="s">
        <v>91</v>
      </c>
      <c r="T81" t="s">
        <v>91</v>
      </c>
      <c r="U81" s="144"/>
    </row>
    <row r="82" spans="1:21">
      <c r="A82">
        <v>80</v>
      </c>
      <c r="B82" t="s">
        <v>220</v>
      </c>
      <c r="C82" t="s">
        <v>162</v>
      </c>
      <c r="D82" t="s">
        <v>1061</v>
      </c>
      <c r="E82" t="s">
        <v>22</v>
      </c>
      <c r="F82" t="s">
        <v>27</v>
      </c>
      <c r="G82" t="s">
        <v>224</v>
      </c>
      <c r="H82" t="s">
        <v>230</v>
      </c>
      <c r="I82" t="s">
        <v>209</v>
      </c>
      <c r="J82" t="s">
        <v>209</v>
      </c>
      <c r="K82" t="s">
        <v>91</v>
      </c>
      <c r="M82" t="s">
        <v>139</v>
      </c>
      <c r="N82">
        <v>0</v>
      </c>
      <c r="O82">
        <v>0</v>
      </c>
      <c r="P82" t="s">
        <v>139</v>
      </c>
      <c r="Q82">
        <v>0</v>
      </c>
      <c r="R82" t="s">
        <v>977</v>
      </c>
      <c r="S82" t="s">
        <v>91</v>
      </c>
      <c r="T82" t="s">
        <v>139</v>
      </c>
      <c r="U82" s="144"/>
    </row>
    <row r="83" spans="1:21">
      <c r="A83">
        <v>81</v>
      </c>
      <c r="B83" t="s">
        <v>220</v>
      </c>
      <c r="C83" t="s">
        <v>167</v>
      </c>
      <c r="D83" t="s">
        <v>1069</v>
      </c>
      <c r="E83" t="s">
        <v>22</v>
      </c>
      <c r="F83" t="s">
        <v>27</v>
      </c>
      <c r="G83" t="s">
        <v>224</v>
      </c>
      <c r="H83" t="s">
        <v>240</v>
      </c>
      <c r="I83">
        <v>2002</v>
      </c>
      <c r="J83">
        <v>2002</v>
      </c>
      <c r="K83" t="s">
        <v>91</v>
      </c>
      <c r="M83" t="s">
        <v>139</v>
      </c>
      <c r="N83">
        <v>0</v>
      </c>
      <c r="O83">
        <v>0</v>
      </c>
      <c r="P83" t="s">
        <v>91</v>
      </c>
      <c r="Q83">
        <v>1</v>
      </c>
      <c r="R83" t="s">
        <v>1028</v>
      </c>
      <c r="S83" t="s">
        <v>91</v>
      </c>
      <c r="T83" t="s">
        <v>139</v>
      </c>
      <c r="U83" s="144"/>
    </row>
    <row r="84" spans="1:21">
      <c r="A84">
        <v>82</v>
      </c>
      <c r="B84" t="s">
        <v>220</v>
      </c>
      <c r="C84" t="s">
        <v>169</v>
      </c>
      <c r="D84" t="s">
        <v>1071</v>
      </c>
      <c r="E84" t="s">
        <v>22</v>
      </c>
      <c r="F84" t="s">
        <v>27</v>
      </c>
      <c r="G84" t="s">
        <v>224</v>
      </c>
      <c r="H84" t="s">
        <v>237</v>
      </c>
      <c r="I84">
        <v>1988</v>
      </c>
      <c r="J84">
        <v>1988</v>
      </c>
      <c r="K84" t="s">
        <v>91</v>
      </c>
      <c r="M84" t="s">
        <v>139</v>
      </c>
      <c r="N84">
        <v>0</v>
      </c>
      <c r="O84">
        <v>0</v>
      </c>
      <c r="P84" t="s">
        <v>91</v>
      </c>
      <c r="Q84">
        <v>1</v>
      </c>
      <c r="R84" t="s">
        <v>1046</v>
      </c>
      <c r="S84" t="s">
        <v>91</v>
      </c>
      <c r="T84" t="s">
        <v>91</v>
      </c>
      <c r="U84" s="144"/>
    </row>
    <row r="85" spans="1:21">
      <c r="A85">
        <v>83</v>
      </c>
      <c r="B85" t="s">
        <v>220</v>
      </c>
      <c r="C85" t="s">
        <v>170</v>
      </c>
      <c r="D85" t="s">
        <v>1072</v>
      </c>
      <c r="E85" t="s">
        <v>22</v>
      </c>
      <c r="F85" t="s">
        <v>27</v>
      </c>
      <c r="G85" t="s">
        <v>224</v>
      </c>
      <c r="H85" t="s">
        <v>238</v>
      </c>
      <c r="I85">
        <v>1990</v>
      </c>
      <c r="J85">
        <v>1990</v>
      </c>
      <c r="K85" t="s">
        <v>91</v>
      </c>
      <c r="M85" t="s">
        <v>139</v>
      </c>
      <c r="N85">
        <v>0</v>
      </c>
      <c r="O85">
        <v>0</v>
      </c>
      <c r="P85" t="s">
        <v>91</v>
      </c>
      <c r="Q85">
        <v>1</v>
      </c>
      <c r="R85" t="s">
        <v>977</v>
      </c>
      <c r="S85" t="s">
        <v>91</v>
      </c>
      <c r="T85" t="s">
        <v>91</v>
      </c>
      <c r="U85" s="144"/>
    </row>
    <row r="86" spans="1:21">
      <c r="A86">
        <v>84</v>
      </c>
      <c r="B86" t="s">
        <v>220</v>
      </c>
      <c r="C86" t="s">
        <v>171</v>
      </c>
      <c r="D86" t="s">
        <v>1073</v>
      </c>
      <c r="E86" t="s">
        <v>22</v>
      </c>
      <c r="F86" t="s">
        <v>27</v>
      </c>
      <c r="G86" t="s">
        <v>224</v>
      </c>
      <c r="H86" t="s">
        <v>241</v>
      </c>
      <c r="I86">
        <v>1996</v>
      </c>
      <c r="J86">
        <v>1996</v>
      </c>
      <c r="K86" t="s">
        <v>91</v>
      </c>
      <c r="M86" t="s">
        <v>91</v>
      </c>
      <c r="N86">
        <v>1</v>
      </c>
      <c r="O86">
        <v>0</v>
      </c>
      <c r="P86" t="s">
        <v>91</v>
      </c>
      <c r="Q86">
        <v>1</v>
      </c>
      <c r="R86" t="s">
        <v>1046</v>
      </c>
      <c r="S86" t="s">
        <v>91</v>
      </c>
      <c r="T86" t="s">
        <v>91</v>
      </c>
      <c r="U86" s="144"/>
    </row>
    <row r="87" spans="1:21">
      <c r="A87">
        <v>85</v>
      </c>
      <c r="B87" t="s">
        <v>220</v>
      </c>
      <c r="C87" t="s">
        <v>173</v>
      </c>
      <c r="D87" t="s">
        <v>1075</v>
      </c>
      <c r="E87" t="s">
        <v>22</v>
      </c>
      <c r="F87" t="s">
        <v>27</v>
      </c>
      <c r="G87" t="s">
        <v>224</v>
      </c>
      <c r="H87" t="s">
        <v>242</v>
      </c>
      <c r="I87" t="s">
        <v>211</v>
      </c>
      <c r="J87" t="s">
        <v>211</v>
      </c>
      <c r="K87" t="s">
        <v>91</v>
      </c>
      <c r="M87" t="s">
        <v>139</v>
      </c>
      <c r="N87">
        <v>0</v>
      </c>
      <c r="O87">
        <v>0</v>
      </c>
      <c r="P87" t="s">
        <v>139</v>
      </c>
      <c r="Q87">
        <v>0</v>
      </c>
      <c r="R87" t="s">
        <v>947</v>
      </c>
      <c r="S87" t="s">
        <v>139</v>
      </c>
      <c r="T87" t="s">
        <v>91</v>
      </c>
      <c r="U87" s="144"/>
    </row>
    <row r="88" spans="1:21">
      <c r="A88">
        <v>86</v>
      </c>
      <c r="B88" t="s">
        <v>220</v>
      </c>
      <c r="C88" t="s">
        <v>174</v>
      </c>
      <c r="D88" t="s">
        <v>1076</v>
      </c>
      <c r="E88" t="s">
        <v>22</v>
      </c>
      <c r="F88" t="s">
        <v>27</v>
      </c>
      <c r="G88" t="s">
        <v>224</v>
      </c>
      <c r="H88" t="s">
        <v>239</v>
      </c>
      <c r="I88">
        <v>1991</v>
      </c>
      <c r="J88">
        <v>1991</v>
      </c>
      <c r="K88" t="s">
        <v>91</v>
      </c>
      <c r="M88" t="s">
        <v>139</v>
      </c>
      <c r="N88">
        <v>0</v>
      </c>
      <c r="O88">
        <v>0</v>
      </c>
      <c r="P88" t="s">
        <v>91</v>
      </c>
      <c r="Q88">
        <v>1</v>
      </c>
      <c r="R88" t="s">
        <v>951</v>
      </c>
      <c r="S88" t="s">
        <v>91</v>
      </c>
      <c r="T88" t="s">
        <v>139</v>
      </c>
      <c r="U88" s="144"/>
    </row>
    <row r="89" spans="1:21">
      <c r="A89">
        <v>87</v>
      </c>
      <c r="B89" t="s">
        <v>220</v>
      </c>
      <c r="C89" t="s">
        <v>176</v>
      </c>
      <c r="D89" t="s">
        <v>1078</v>
      </c>
      <c r="E89" t="s">
        <v>22</v>
      </c>
      <c r="F89" t="s">
        <v>27</v>
      </c>
      <c r="G89" t="s">
        <v>224</v>
      </c>
      <c r="H89" t="s">
        <v>244</v>
      </c>
      <c r="I89" t="s">
        <v>212</v>
      </c>
      <c r="J89" t="s">
        <v>212</v>
      </c>
      <c r="K89" t="s">
        <v>91</v>
      </c>
      <c r="M89" t="s">
        <v>139</v>
      </c>
      <c r="N89">
        <v>0</v>
      </c>
      <c r="O89">
        <v>0</v>
      </c>
      <c r="P89" t="s">
        <v>91</v>
      </c>
      <c r="Q89">
        <v>1</v>
      </c>
      <c r="R89" t="s">
        <v>947</v>
      </c>
      <c r="S89" t="s">
        <v>91</v>
      </c>
      <c r="T89" t="s">
        <v>91</v>
      </c>
      <c r="U89" s="144"/>
    </row>
    <row r="90" spans="1:21">
      <c r="A90">
        <v>88</v>
      </c>
      <c r="B90" t="s">
        <v>220</v>
      </c>
      <c r="C90" t="s">
        <v>178</v>
      </c>
      <c r="D90" t="s">
        <v>1079</v>
      </c>
      <c r="E90" t="s">
        <v>22</v>
      </c>
      <c r="F90" t="s">
        <v>27</v>
      </c>
      <c r="G90" t="s">
        <v>224</v>
      </c>
      <c r="H90" t="s">
        <v>230</v>
      </c>
      <c r="I90">
        <v>1999</v>
      </c>
      <c r="J90">
        <v>1999</v>
      </c>
      <c r="K90" t="s">
        <v>91</v>
      </c>
      <c r="M90" t="s">
        <v>91</v>
      </c>
      <c r="N90">
        <v>1</v>
      </c>
      <c r="O90">
        <v>0</v>
      </c>
      <c r="P90" t="s">
        <v>91</v>
      </c>
      <c r="Q90">
        <v>1</v>
      </c>
      <c r="R90" t="s">
        <v>947</v>
      </c>
      <c r="S90" t="s">
        <v>91</v>
      </c>
      <c r="T90">
        <v>0</v>
      </c>
      <c r="U90" s="144"/>
    </row>
    <row r="91" spans="1:21">
      <c r="A91">
        <v>89</v>
      </c>
      <c r="B91" t="s">
        <v>220</v>
      </c>
      <c r="C91" t="s">
        <v>168</v>
      </c>
      <c r="D91" t="s">
        <v>1070</v>
      </c>
      <c r="E91" t="s">
        <v>22</v>
      </c>
      <c r="F91" t="s">
        <v>27</v>
      </c>
      <c r="G91" t="s">
        <v>229</v>
      </c>
      <c r="H91" t="s">
        <v>229</v>
      </c>
      <c r="I91">
        <v>1969</v>
      </c>
      <c r="J91">
        <v>1969</v>
      </c>
      <c r="K91" t="s">
        <v>91</v>
      </c>
      <c r="M91" t="s">
        <v>91</v>
      </c>
      <c r="N91">
        <v>1</v>
      </c>
      <c r="O91">
        <v>0</v>
      </c>
      <c r="P91" t="s">
        <v>91</v>
      </c>
      <c r="Q91">
        <v>1</v>
      </c>
      <c r="R91" t="s">
        <v>947</v>
      </c>
      <c r="S91" t="s">
        <v>139</v>
      </c>
      <c r="T91" t="s">
        <v>91</v>
      </c>
      <c r="U91" s="144"/>
    </row>
    <row r="92" spans="1:21">
      <c r="A92">
        <v>90</v>
      </c>
      <c r="B92" t="s">
        <v>220</v>
      </c>
      <c r="C92" t="s">
        <v>160</v>
      </c>
      <c r="D92" t="s">
        <v>1059</v>
      </c>
      <c r="E92" t="s">
        <v>22</v>
      </c>
      <c r="F92" t="s">
        <v>27</v>
      </c>
      <c r="G92" t="s">
        <v>227</v>
      </c>
      <c r="H92" t="s">
        <v>233</v>
      </c>
      <c r="I92">
        <v>2001</v>
      </c>
      <c r="J92">
        <v>2001</v>
      </c>
      <c r="K92" t="s">
        <v>91</v>
      </c>
      <c r="M92" t="s">
        <v>139</v>
      </c>
      <c r="N92">
        <v>0</v>
      </c>
      <c r="O92">
        <v>0</v>
      </c>
      <c r="P92" t="s">
        <v>91</v>
      </c>
      <c r="Q92">
        <v>1</v>
      </c>
      <c r="R92" t="s">
        <v>977</v>
      </c>
      <c r="S92" t="s">
        <v>139</v>
      </c>
      <c r="T92" t="s">
        <v>139</v>
      </c>
      <c r="U92" s="144"/>
    </row>
    <row r="93" spans="1:21">
      <c r="A93">
        <v>91</v>
      </c>
      <c r="B93" t="s">
        <v>220</v>
      </c>
      <c r="C93" t="s">
        <v>172</v>
      </c>
      <c r="D93" t="s">
        <v>1074</v>
      </c>
      <c r="E93" t="s">
        <v>22</v>
      </c>
      <c r="F93" t="s">
        <v>27</v>
      </c>
      <c r="G93" t="s">
        <v>227</v>
      </c>
      <c r="H93" t="s">
        <v>227</v>
      </c>
      <c r="I93">
        <v>1974</v>
      </c>
      <c r="J93">
        <v>1974</v>
      </c>
      <c r="K93" t="s">
        <v>91</v>
      </c>
      <c r="M93" t="s">
        <v>91</v>
      </c>
      <c r="N93">
        <v>1</v>
      </c>
      <c r="O93">
        <v>0</v>
      </c>
      <c r="P93" t="s">
        <v>91</v>
      </c>
      <c r="Q93">
        <v>1</v>
      </c>
      <c r="R93" t="s">
        <v>947</v>
      </c>
      <c r="S93" t="s">
        <v>139</v>
      </c>
      <c r="T93" t="s">
        <v>139</v>
      </c>
      <c r="U93" s="144"/>
    </row>
    <row r="94" spans="1:21">
      <c r="A94">
        <v>92</v>
      </c>
      <c r="B94" t="s">
        <v>220</v>
      </c>
      <c r="C94" t="s">
        <v>145</v>
      </c>
      <c r="D94" t="s">
        <v>1038</v>
      </c>
      <c r="E94" t="s">
        <v>22</v>
      </c>
      <c r="F94" t="s">
        <v>27</v>
      </c>
      <c r="G94" t="s">
        <v>225</v>
      </c>
      <c r="H94" t="s">
        <v>231</v>
      </c>
      <c r="I94" t="s">
        <v>204</v>
      </c>
      <c r="J94" t="s">
        <v>204</v>
      </c>
      <c r="K94" t="s">
        <v>91</v>
      </c>
      <c r="M94" t="s">
        <v>91</v>
      </c>
      <c r="N94">
        <v>1</v>
      </c>
      <c r="O94">
        <v>0</v>
      </c>
      <c r="P94" t="s">
        <v>91</v>
      </c>
      <c r="Q94">
        <v>1</v>
      </c>
      <c r="R94" t="s">
        <v>1039</v>
      </c>
      <c r="S94" t="s">
        <v>139</v>
      </c>
      <c r="T94" t="s">
        <v>139</v>
      </c>
      <c r="U94" s="144"/>
    </row>
    <row r="95" spans="1:21">
      <c r="A95">
        <v>93</v>
      </c>
      <c r="B95" t="s">
        <v>220</v>
      </c>
      <c r="C95" t="s">
        <v>164</v>
      </c>
      <c r="D95" t="s">
        <v>1063</v>
      </c>
      <c r="E95" t="s">
        <v>22</v>
      </c>
      <c r="F95" t="s">
        <v>27</v>
      </c>
      <c r="G95" t="s">
        <v>225</v>
      </c>
      <c r="H95" t="s">
        <v>235</v>
      </c>
      <c r="I95">
        <v>1975</v>
      </c>
      <c r="J95">
        <v>1975</v>
      </c>
      <c r="K95" t="s">
        <v>91</v>
      </c>
      <c r="M95" t="s">
        <v>91</v>
      </c>
      <c r="N95">
        <v>1</v>
      </c>
      <c r="O95">
        <v>0</v>
      </c>
      <c r="P95" t="s">
        <v>91</v>
      </c>
      <c r="Q95">
        <v>1</v>
      </c>
      <c r="R95" t="s">
        <v>1064</v>
      </c>
      <c r="S95" t="s">
        <v>139</v>
      </c>
      <c r="T95" t="s">
        <v>91</v>
      </c>
      <c r="U95" s="144"/>
    </row>
    <row r="96" spans="1:21">
      <c r="A96">
        <v>94</v>
      </c>
      <c r="B96" t="s">
        <v>220</v>
      </c>
      <c r="C96" t="s">
        <v>175</v>
      </c>
      <c r="D96" t="s">
        <v>1077</v>
      </c>
      <c r="E96" t="s">
        <v>22</v>
      </c>
      <c r="F96" t="s">
        <v>27</v>
      </c>
      <c r="G96" t="s">
        <v>225</v>
      </c>
      <c r="H96" t="s">
        <v>243</v>
      </c>
      <c r="I96" t="s">
        <v>210</v>
      </c>
      <c r="J96" t="s">
        <v>210</v>
      </c>
      <c r="K96" t="s">
        <v>91</v>
      </c>
      <c r="U96" s="144"/>
    </row>
    <row r="97" spans="1:21">
      <c r="A97">
        <v>95</v>
      </c>
      <c r="B97" t="s">
        <v>220</v>
      </c>
      <c r="C97" t="s">
        <v>179</v>
      </c>
      <c r="D97" t="s">
        <v>1080</v>
      </c>
      <c r="E97" t="s">
        <v>85</v>
      </c>
      <c r="F97" t="s">
        <v>27</v>
      </c>
      <c r="G97" t="s">
        <v>224</v>
      </c>
      <c r="H97" t="s">
        <v>230</v>
      </c>
      <c r="I97">
        <v>2000</v>
      </c>
      <c r="J97">
        <v>2000</v>
      </c>
      <c r="K97" t="s">
        <v>91</v>
      </c>
      <c r="M97" t="s">
        <v>139</v>
      </c>
      <c r="N97">
        <v>0</v>
      </c>
      <c r="O97">
        <v>0</v>
      </c>
      <c r="P97" t="s">
        <v>139</v>
      </c>
      <c r="Q97">
        <v>0</v>
      </c>
      <c r="R97" t="s">
        <v>947</v>
      </c>
      <c r="S97" t="s">
        <v>91</v>
      </c>
      <c r="T97" t="s">
        <v>139</v>
      </c>
      <c r="U97" s="144"/>
    </row>
    <row r="98" spans="1:21">
      <c r="A98">
        <v>96</v>
      </c>
      <c r="B98" t="s">
        <v>220</v>
      </c>
      <c r="C98" t="s">
        <v>186</v>
      </c>
      <c r="D98" t="s">
        <v>1091</v>
      </c>
      <c r="E98" t="s">
        <v>86</v>
      </c>
      <c r="F98" t="s">
        <v>27</v>
      </c>
      <c r="G98" t="s">
        <v>228</v>
      </c>
      <c r="H98" t="s">
        <v>234</v>
      </c>
      <c r="I98" t="s">
        <v>213</v>
      </c>
      <c r="J98" t="s">
        <v>213</v>
      </c>
      <c r="K98" t="s">
        <v>91</v>
      </c>
      <c r="M98" t="s">
        <v>91</v>
      </c>
      <c r="N98">
        <v>1</v>
      </c>
      <c r="O98">
        <v>0</v>
      </c>
      <c r="P98" t="s">
        <v>91</v>
      </c>
      <c r="Q98">
        <v>1</v>
      </c>
      <c r="R98" t="s">
        <v>1046</v>
      </c>
      <c r="S98" t="s">
        <v>139</v>
      </c>
      <c r="T98" t="s">
        <v>139</v>
      </c>
      <c r="U98" s="144"/>
    </row>
    <row r="99" spans="1:21">
      <c r="A99">
        <v>97</v>
      </c>
      <c r="B99" t="s">
        <v>220</v>
      </c>
      <c r="C99" t="s">
        <v>181</v>
      </c>
      <c r="D99" t="s">
        <v>1082</v>
      </c>
      <c r="E99" t="s">
        <v>86</v>
      </c>
      <c r="F99" t="s">
        <v>27</v>
      </c>
      <c r="G99" t="s">
        <v>224</v>
      </c>
      <c r="H99" t="s">
        <v>230</v>
      </c>
      <c r="I99">
        <v>1984</v>
      </c>
      <c r="J99">
        <v>1984</v>
      </c>
      <c r="K99" t="s">
        <v>91</v>
      </c>
      <c r="M99" t="s">
        <v>91</v>
      </c>
      <c r="N99">
        <v>1</v>
      </c>
      <c r="O99">
        <v>0</v>
      </c>
      <c r="P99" t="s">
        <v>91</v>
      </c>
      <c r="Q99">
        <v>1</v>
      </c>
      <c r="R99" t="s">
        <v>947</v>
      </c>
      <c r="S99" t="s">
        <v>91</v>
      </c>
      <c r="T99" t="s">
        <v>91</v>
      </c>
      <c r="U99" s="144" t="s">
        <v>292</v>
      </c>
    </row>
    <row r="100" spans="1:21">
      <c r="A100">
        <v>98</v>
      </c>
      <c r="B100" t="s">
        <v>220</v>
      </c>
      <c r="C100" t="s">
        <v>183</v>
      </c>
      <c r="D100" t="s">
        <v>1084</v>
      </c>
      <c r="E100" t="s">
        <v>86</v>
      </c>
      <c r="F100" t="s">
        <v>27</v>
      </c>
      <c r="G100" t="s">
        <v>224</v>
      </c>
      <c r="H100" t="s">
        <v>230</v>
      </c>
      <c r="K100" t="s">
        <v>91</v>
      </c>
      <c r="M100" t="s">
        <v>1085</v>
      </c>
      <c r="N100">
        <v>1</v>
      </c>
      <c r="O100">
        <v>0</v>
      </c>
      <c r="P100" t="s">
        <v>1086</v>
      </c>
      <c r="Q100">
        <v>0</v>
      </c>
      <c r="R100" t="s">
        <v>1046</v>
      </c>
      <c r="S100" t="s">
        <v>91</v>
      </c>
      <c r="T100" t="s">
        <v>91</v>
      </c>
      <c r="U100" s="144"/>
    </row>
    <row r="101" spans="1:21">
      <c r="A101">
        <v>99</v>
      </c>
      <c r="B101" t="s">
        <v>220</v>
      </c>
      <c r="C101" t="s">
        <v>184</v>
      </c>
      <c r="D101" t="s">
        <v>1087</v>
      </c>
      <c r="E101" t="s">
        <v>86</v>
      </c>
      <c r="F101" t="s">
        <v>27</v>
      </c>
      <c r="G101" t="s">
        <v>224</v>
      </c>
      <c r="H101" t="s">
        <v>230</v>
      </c>
      <c r="I101">
        <v>1992</v>
      </c>
      <c r="J101">
        <v>1992</v>
      </c>
      <c r="K101" t="s">
        <v>91</v>
      </c>
      <c r="M101" t="s">
        <v>1088</v>
      </c>
      <c r="N101">
        <v>0</v>
      </c>
      <c r="O101">
        <v>0</v>
      </c>
      <c r="P101" t="s">
        <v>1089</v>
      </c>
      <c r="Q101">
        <v>0</v>
      </c>
      <c r="R101" t="s">
        <v>1046</v>
      </c>
      <c r="S101" t="s">
        <v>91</v>
      </c>
      <c r="T101" t="s">
        <v>139</v>
      </c>
      <c r="U101" s="144"/>
    </row>
    <row r="102" spans="1:21">
      <c r="A102">
        <v>100</v>
      </c>
      <c r="B102" t="s">
        <v>220</v>
      </c>
      <c r="C102" t="s">
        <v>185</v>
      </c>
      <c r="D102" t="s">
        <v>1090</v>
      </c>
      <c r="E102" t="s">
        <v>86</v>
      </c>
      <c r="F102" t="s">
        <v>27</v>
      </c>
      <c r="G102" t="s">
        <v>224</v>
      </c>
      <c r="H102" t="s">
        <v>230</v>
      </c>
      <c r="I102">
        <v>1973</v>
      </c>
      <c r="J102">
        <v>1973</v>
      </c>
      <c r="K102" t="s">
        <v>91</v>
      </c>
      <c r="M102" t="s">
        <v>91</v>
      </c>
      <c r="N102">
        <v>1</v>
      </c>
      <c r="O102">
        <v>0</v>
      </c>
      <c r="P102" t="s">
        <v>91</v>
      </c>
      <c r="Q102">
        <v>1</v>
      </c>
      <c r="R102" t="s">
        <v>947</v>
      </c>
      <c r="S102" t="s">
        <v>91</v>
      </c>
      <c r="T102" t="s">
        <v>139</v>
      </c>
      <c r="U102" s="144"/>
    </row>
    <row r="103" spans="1:21">
      <c r="A103">
        <v>101</v>
      </c>
      <c r="B103" t="s">
        <v>220</v>
      </c>
      <c r="C103" t="s">
        <v>182</v>
      </c>
      <c r="D103" t="s">
        <v>1083</v>
      </c>
      <c r="E103" t="s">
        <v>86</v>
      </c>
      <c r="F103" t="s">
        <v>27</v>
      </c>
      <c r="G103" t="s">
        <v>229</v>
      </c>
      <c r="H103" t="s">
        <v>229</v>
      </c>
      <c r="I103">
        <v>1997</v>
      </c>
      <c r="J103">
        <v>1997</v>
      </c>
      <c r="K103" t="s">
        <v>91</v>
      </c>
      <c r="M103" t="s">
        <v>139</v>
      </c>
      <c r="N103">
        <v>0</v>
      </c>
      <c r="O103">
        <v>0</v>
      </c>
      <c r="P103" t="s">
        <v>91</v>
      </c>
      <c r="Q103">
        <v>1</v>
      </c>
      <c r="R103" t="s">
        <v>947</v>
      </c>
      <c r="S103" t="s">
        <v>139</v>
      </c>
      <c r="T103">
        <v>0</v>
      </c>
      <c r="U103" s="144"/>
    </row>
    <row r="104" spans="1:21">
      <c r="A104">
        <v>102</v>
      </c>
      <c r="B104" t="s">
        <v>220</v>
      </c>
      <c r="C104" t="s">
        <v>180</v>
      </c>
      <c r="D104" t="s">
        <v>1081</v>
      </c>
      <c r="E104" t="s">
        <v>86</v>
      </c>
      <c r="F104" t="s">
        <v>27</v>
      </c>
      <c r="G104" t="s">
        <v>227</v>
      </c>
      <c r="H104" t="s">
        <v>227</v>
      </c>
      <c r="I104">
        <v>1974</v>
      </c>
      <c r="J104">
        <v>1974</v>
      </c>
      <c r="K104" t="s">
        <v>91</v>
      </c>
      <c r="M104" t="s">
        <v>91</v>
      </c>
      <c r="N104">
        <v>1</v>
      </c>
      <c r="O104">
        <v>0</v>
      </c>
      <c r="P104" t="s">
        <v>91</v>
      </c>
      <c r="Q104">
        <v>1</v>
      </c>
      <c r="R104" t="s">
        <v>947</v>
      </c>
      <c r="S104" t="s">
        <v>139</v>
      </c>
      <c r="T104" t="s">
        <v>139</v>
      </c>
      <c r="U104" s="144"/>
    </row>
    <row r="105" spans="1:21">
      <c r="A105">
        <v>103</v>
      </c>
      <c r="B105" t="s">
        <v>220</v>
      </c>
      <c r="C105" t="s">
        <v>196</v>
      </c>
      <c r="D105" t="s">
        <v>1101</v>
      </c>
      <c r="E105" t="s">
        <v>23</v>
      </c>
      <c r="F105" t="s">
        <v>27</v>
      </c>
      <c r="G105" t="s">
        <v>228</v>
      </c>
      <c r="I105">
        <v>1993</v>
      </c>
      <c r="J105">
        <v>1993</v>
      </c>
      <c r="K105" t="s">
        <v>91</v>
      </c>
      <c r="M105" t="s">
        <v>139</v>
      </c>
      <c r="N105">
        <v>0</v>
      </c>
      <c r="O105">
        <v>0</v>
      </c>
      <c r="P105" t="s">
        <v>139</v>
      </c>
      <c r="Q105">
        <v>0</v>
      </c>
      <c r="R105" t="s">
        <v>947</v>
      </c>
      <c r="S105" t="s">
        <v>91</v>
      </c>
      <c r="T105" t="s">
        <v>139</v>
      </c>
      <c r="U105" s="144"/>
    </row>
    <row r="106" spans="1:21">
      <c r="A106">
        <v>104</v>
      </c>
      <c r="B106" t="s">
        <v>220</v>
      </c>
      <c r="C106" t="s">
        <v>188</v>
      </c>
      <c r="D106" t="s">
        <v>1093</v>
      </c>
      <c r="E106" t="s">
        <v>23</v>
      </c>
      <c r="F106" t="s">
        <v>27</v>
      </c>
      <c r="G106" t="s">
        <v>224</v>
      </c>
      <c r="H106" t="s">
        <v>230</v>
      </c>
      <c r="I106">
        <v>30090</v>
      </c>
      <c r="J106">
        <v>30090</v>
      </c>
      <c r="K106" t="s">
        <v>91</v>
      </c>
      <c r="M106" t="s">
        <v>139</v>
      </c>
      <c r="N106">
        <v>0</v>
      </c>
      <c r="O106">
        <v>0</v>
      </c>
      <c r="P106" t="s">
        <v>91</v>
      </c>
      <c r="Q106">
        <v>1</v>
      </c>
      <c r="R106" t="s">
        <v>947</v>
      </c>
      <c r="S106" t="s">
        <v>91</v>
      </c>
      <c r="T106" t="s">
        <v>91</v>
      </c>
      <c r="U106" s="144"/>
    </row>
    <row r="107" spans="1:21">
      <c r="A107">
        <v>105</v>
      </c>
      <c r="B107" t="s">
        <v>220</v>
      </c>
      <c r="C107" t="s">
        <v>189</v>
      </c>
      <c r="D107" t="s">
        <v>1094</v>
      </c>
      <c r="E107" t="s">
        <v>23</v>
      </c>
      <c r="F107" t="s">
        <v>27</v>
      </c>
      <c r="G107" t="s">
        <v>224</v>
      </c>
      <c r="H107" t="s">
        <v>230</v>
      </c>
      <c r="I107" t="s">
        <v>214</v>
      </c>
      <c r="J107" t="s">
        <v>214</v>
      </c>
      <c r="K107" t="s">
        <v>91</v>
      </c>
      <c r="M107" t="s">
        <v>139</v>
      </c>
      <c r="N107">
        <v>0</v>
      </c>
      <c r="O107">
        <v>0</v>
      </c>
      <c r="P107" t="s">
        <v>139</v>
      </c>
      <c r="Q107">
        <v>0</v>
      </c>
      <c r="R107" t="s">
        <v>1046</v>
      </c>
      <c r="S107" t="s">
        <v>91</v>
      </c>
      <c r="T107">
        <v>0</v>
      </c>
      <c r="U107" s="144" t="s">
        <v>292</v>
      </c>
    </row>
    <row r="108" spans="1:21">
      <c r="A108">
        <v>106</v>
      </c>
      <c r="B108" t="s">
        <v>220</v>
      </c>
      <c r="C108" t="s">
        <v>190</v>
      </c>
      <c r="D108" t="s">
        <v>1095</v>
      </c>
      <c r="E108" t="s">
        <v>23</v>
      </c>
      <c r="F108" t="s">
        <v>27</v>
      </c>
      <c r="G108" t="s">
        <v>224</v>
      </c>
      <c r="H108" t="s">
        <v>230</v>
      </c>
      <c r="I108">
        <v>1995</v>
      </c>
      <c r="J108">
        <v>1995</v>
      </c>
      <c r="K108" t="s">
        <v>91</v>
      </c>
      <c r="M108" t="s">
        <v>91</v>
      </c>
      <c r="N108">
        <v>1</v>
      </c>
      <c r="O108">
        <v>0</v>
      </c>
      <c r="P108" t="s">
        <v>91</v>
      </c>
      <c r="Q108">
        <v>1</v>
      </c>
      <c r="R108" t="s">
        <v>947</v>
      </c>
      <c r="S108" t="s">
        <v>91</v>
      </c>
      <c r="T108" t="s">
        <v>139</v>
      </c>
      <c r="U108" s="144"/>
    </row>
    <row r="109" spans="1:21">
      <c r="A109">
        <v>107</v>
      </c>
      <c r="B109" t="s">
        <v>220</v>
      </c>
      <c r="C109" t="s">
        <v>191</v>
      </c>
      <c r="D109" t="s">
        <v>1096</v>
      </c>
      <c r="E109" t="s">
        <v>23</v>
      </c>
      <c r="F109" t="s">
        <v>27</v>
      </c>
      <c r="G109" t="s">
        <v>224</v>
      </c>
      <c r="H109" t="s">
        <v>230</v>
      </c>
      <c r="I109">
        <v>1938</v>
      </c>
      <c r="J109">
        <v>1938</v>
      </c>
      <c r="K109" t="s">
        <v>91</v>
      </c>
      <c r="M109" t="s">
        <v>139</v>
      </c>
      <c r="N109">
        <v>0</v>
      </c>
      <c r="O109">
        <v>0</v>
      </c>
      <c r="P109" t="s">
        <v>91</v>
      </c>
      <c r="Q109">
        <v>1</v>
      </c>
      <c r="R109" t="s">
        <v>947</v>
      </c>
      <c r="S109" t="s">
        <v>91</v>
      </c>
      <c r="T109" t="s">
        <v>139</v>
      </c>
      <c r="U109" s="144"/>
    </row>
    <row r="110" spans="1:21">
      <c r="A110">
        <v>108</v>
      </c>
      <c r="B110" t="s">
        <v>220</v>
      </c>
      <c r="C110" t="s">
        <v>192</v>
      </c>
      <c r="D110" t="s">
        <v>1097</v>
      </c>
      <c r="E110" t="s">
        <v>23</v>
      </c>
      <c r="F110" t="s">
        <v>27</v>
      </c>
      <c r="G110" t="s">
        <v>224</v>
      </c>
      <c r="H110" t="s">
        <v>230</v>
      </c>
      <c r="I110">
        <v>1932</v>
      </c>
      <c r="J110">
        <v>1932</v>
      </c>
      <c r="K110" t="s">
        <v>139</v>
      </c>
      <c r="M110" t="s">
        <v>91</v>
      </c>
      <c r="N110">
        <v>1</v>
      </c>
      <c r="O110">
        <v>0</v>
      </c>
      <c r="P110" t="s">
        <v>91</v>
      </c>
      <c r="Q110">
        <v>1</v>
      </c>
      <c r="R110" t="s">
        <v>1046</v>
      </c>
      <c r="S110" t="s">
        <v>91</v>
      </c>
      <c r="T110" t="s">
        <v>91</v>
      </c>
      <c r="U110" s="144"/>
    </row>
    <row r="111" spans="1:21">
      <c r="A111">
        <v>109</v>
      </c>
      <c r="B111" t="s">
        <v>220</v>
      </c>
      <c r="C111" t="s">
        <v>193</v>
      </c>
      <c r="D111" t="s">
        <v>1098</v>
      </c>
      <c r="E111" t="s">
        <v>23</v>
      </c>
      <c r="F111" t="s">
        <v>27</v>
      </c>
      <c r="G111" t="s">
        <v>224</v>
      </c>
      <c r="H111" t="s">
        <v>230</v>
      </c>
      <c r="I111" t="s">
        <v>215</v>
      </c>
      <c r="J111" t="s">
        <v>215</v>
      </c>
      <c r="K111" t="s">
        <v>91</v>
      </c>
      <c r="M111" t="s">
        <v>139</v>
      </c>
      <c r="N111">
        <v>0</v>
      </c>
      <c r="O111">
        <v>0</v>
      </c>
      <c r="P111" t="s">
        <v>91</v>
      </c>
      <c r="Q111">
        <v>1</v>
      </c>
      <c r="R111" t="s">
        <v>947</v>
      </c>
      <c r="S111" t="s">
        <v>91</v>
      </c>
      <c r="T111" t="s">
        <v>139</v>
      </c>
      <c r="U111" s="144"/>
    </row>
    <row r="112" spans="1:21">
      <c r="A112">
        <v>110</v>
      </c>
      <c r="B112" t="s">
        <v>220</v>
      </c>
      <c r="C112" t="s">
        <v>194</v>
      </c>
      <c r="D112" t="s">
        <v>1099</v>
      </c>
      <c r="E112" t="s">
        <v>23</v>
      </c>
      <c r="F112" t="s">
        <v>27</v>
      </c>
      <c r="G112" t="s">
        <v>224</v>
      </c>
      <c r="H112" t="s">
        <v>230</v>
      </c>
      <c r="I112">
        <v>1984</v>
      </c>
      <c r="J112">
        <v>1984</v>
      </c>
      <c r="K112" t="s">
        <v>91</v>
      </c>
      <c r="M112" t="s">
        <v>91</v>
      </c>
      <c r="N112">
        <v>1</v>
      </c>
      <c r="O112">
        <v>0</v>
      </c>
      <c r="P112" t="s">
        <v>91</v>
      </c>
      <c r="Q112">
        <v>1</v>
      </c>
      <c r="R112" t="s">
        <v>1046</v>
      </c>
      <c r="S112" t="s">
        <v>91</v>
      </c>
      <c r="T112" t="s">
        <v>91</v>
      </c>
      <c r="U112" s="144"/>
    </row>
    <row r="113" spans="1:21">
      <c r="A113">
        <v>111</v>
      </c>
      <c r="B113" t="s">
        <v>220</v>
      </c>
      <c r="C113" t="s">
        <v>195</v>
      </c>
      <c r="D113" t="s">
        <v>1100</v>
      </c>
      <c r="E113" t="s">
        <v>23</v>
      </c>
      <c r="F113" t="s">
        <v>27</v>
      </c>
      <c r="G113" t="s">
        <v>224</v>
      </c>
      <c r="H113" t="s">
        <v>230</v>
      </c>
      <c r="I113">
        <v>2004</v>
      </c>
      <c r="J113">
        <v>2004</v>
      </c>
      <c r="K113" t="s">
        <v>91</v>
      </c>
      <c r="M113" t="s">
        <v>139</v>
      </c>
      <c r="N113">
        <v>0</v>
      </c>
      <c r="O113">
        <v>0</v>
      </c>
      <c r="P113" t="s">
        <v>139</v>
      </c>
      <c r="Q113">
        <v>0</v>
      </c>
      <c r="R113" t="s">
        <v>1028</v>
      </c>
      <c r="S113" t="s">
        <v>91</v>
      </c>
      <c r="T113" t="s">
        <v>139</v>
      </c>
      <c r="U113" s="144"/>
    </row>
    <row r="114" spans="1:21">
      <c r="A114">
        <v>112</v>
      </c>
      <c r="B114" t="s">
        <v>220</v>
      </c>
      <c r="C114" t="s">
        <v>197</v>
      </c>
      <c r="D114" t="s">
        <v>1102</v>
      </c>
      <c r="E114" t="s">
        <v>23</v>
      </c>
      <c r="F114" t="s">
        <v>27</v>
      </c>
      <c r="G114" t="s">
        <v>224</v>
      </c>
      <c r="H114" t="s">
        <v>230</v>
      </c>
      <c r="I114">
        <v>1930</v>
      </c>
      <c r="J114">
        <v>1930</v>
      </c>
      <c r="K114" t="s">
        <v>91</v>
      </c>
      <c r="M114" t="s">
        <v>139</v>
      </c>
      <c r="N114">
        <v>0</v>
      </c>
      <c r="O114">
        <v>0</v>
      </c>
      <c r="P114" t="s">
        <v>91</v>
      </c>
      <c r="Q114">
        <v>1</v>
      </c>
      <c r="R114" t="s">
        <v>1046</v>
      </c>
      <c r="S114" t="s">
        <v>91</v>
      </c>
      <c r="T114" t="s">
        <v>91</v>
      </c>
      <c r="U114" s="144"/>
    </row>
    <row r="115" spans="1:21">
      <c r="A115">
        <v>113</v>
      </c>
      <c r="B115" t="s">
        <v>220</v>
      </c>
      <c r="C115" t="s">
        <v>198</v>
      </c>
      <c r="D115" t="s">
        <v>1103</v>
      </c>
      <c r="E115" t="s">
        <v>23</v>
      </c>
      <c r="F115" t="s">
        <v>27</v>
      </c>
      <c r="G115" t="s">
        <v>224</v>
      </c>
      <c r="H115" t="s">
        <v>222</v>
      </c>
      <c r="I115" t="s">
        <v>216</v>
      </c>
      <c r="J115" t="s">
        <v>216</v>
      </c>
      <c r="K115" t="s">
        <v>91</v>
      </c>
      <c r="M115" t="s">
        <v>962</v>
      </c>
      <c r="N115">
        <v>0</v>
      </c>
      <c r="O115">
        <v>0</v>
      </c>
      <c r="P115" t="s">
        <v>91</v>
      </c>
      <c r="Q115">
        <v>1</v>
      </c>
      <c r="R115" t="s">
        <v>947</v>
      </c>
      <c r="S115" t="s">
        <v>91</v>
      </c>
      <c r="T115" t="s">
        <v>139</v>
      </c>
      <c r="U115" s="144"/>
    </row>
    <row r="116" spans="1:21">
      <c r="A116">
        <v>114</v>
      </c>
      <c r="B116" t="s">
        <v>220</v>
      </c>
      <c r="C116" t="s">
        <v>200</v>
      </c>
      <c r="D116" t="s">
        <v>1105</v>
      </c>
      <c r="E116" t="s">
        <v>23</v>
      </c>
      <c r="F116" t="s">
        <v>27</v>
      </c>
      <c r="G116" t="s">
        <v>224</v>
      </c>
      <c r="H116" t="s">
        <v>240</v>
      </c>
      <c r="I116">
        <v>1995</v>
      </c>
      <c r="J116">
        <v>1995</v>
      </c>
      <c r="K116" t="s">
        <v>91</v>
      </c>
      <c r="M116" t="s">
        <v>139</v>
      </c>
      <c r="N116">
        <v>0</v>
      </c>
      <c r="O116">
        <v>0</v>
      </c>
      <c r="P116" t="s">
        <v>91</v>
      </c>
      <c r="Q116">
        <v>1</v>
      </c>
      <c r="R116" t="s">
        <v>1046</v>
      </c>
      <c r="S116" t="s">
        <v>91</v>
      </c>
      <c r="T116" t="s">
        <v>91</v>
      </c>
      <c r="U116" s="144"/>
    </row>
    <row r="117" spans="1:21">
      <c r="A117">
        <v>115</v>
      </c>
      <c r="B117" t="s">
        <v>220</v>
      </c>
      <c r="C117" t="s">
        <v>202</v>
      </c>
      <c r="D117" t="s">
        <v>1109</v>
      </c>
      <c r="E117" t="s">
        <v>23</v>
      </c>
      <c r="F117" t="s">
        <v>27</v>
      </c>
      <c r="G117" t="s">
        <v>224</v>
      </c>
      <c r="H117" t="s">
        <v>239</v>
      </c>
      <c r="K117" t="s">
        <v>91</v>
      </c>
      <c r="M117" t="s">
        <v>1054</v>
      </c>
      <c r="N117">
        <v>0</v>
      </c>
      <c r="O117">
        <v>1</v>
      </c>
      <c r="P117" t="s">
        <v>91</v>
      </c>
      <c r="Q117">
        <v>1</v>
      </c>
      <c r="R117" t="s">
        <v>947</v>
      </c>
      <c r="S117" t="s">
        <v>91</v>
      </c>
      <c r="T117" t="s">
        <v>139</v>
      </c>
      <c r="U117" s="144"/>
    </row>
    <row r="118" spans="1:21">
      <c r="A118">
        <v>116</v>
      </c>
      <c r="B118" t="s">
        <v>220</v>
      </c>
      <c r="C118" t="s">
        <v>203</v>
      </c>
      <c r="D118" t="s">
        <v>1110</v>
      </c>
      <c r="E118" t="s">
        <v>23</v>
      </c>
      <c r="F118" t="s">
        <v>27</v>
      </c>
      <c r="G118" t="s">
        <v>224</v>
      </c>
      <c r="H118" t="s">
        <v>230</v>
      </c>
      <c r="I118" t="s">
        <v>218</v>
      </c>
      <c r="J118" t="s">
        <v>218</v>
      </c>
      <c r="K118" t="s">
        <v>91</v>
      </c>
      <c r="M118" t="s">
        <v>91</v>
      </c>
      <c r="N118">
        <v>1</v>
      </c>
      <c r="O118">
        <v>0</v>
      </c>
      <c r="P118" t="s">
        <v>91</v>
      </c>
      <c r="Q118">
        <v>1</v>
      </c>
      <c r="R118" t="s">
        <v>947</v>
      </c>
      <c r="S118" t="s">
        <v>91</v>
      </c>
      <c r="T118" t="s">
        <v>91</v>
      </c>
      <c r="U118" s="144"/>
    </row>
    <row r="119" spans="1:21">
      <c r="A119">
        <v>117</v>
      </c>
      <c r="B119" t="s">
        <v>220</v>
      </c>
      <c r="C119" t="s">
        <v>201</v>
      </c>
      <c r="D119" t="s">
        <v>1106</v>
      </c>
      <c r="E119" t="s">
        <v>23</v>
      </c>
      <c r="F119" t="s">
        <v>27</v>
      </c>
      <c r="G119" t="s">
        <v>229</v>
      </c>
      <c r="H119" t="s">
        <v>229</v>
      </c>
      <c r="I119" t="s">
        <v>217</v>
      </c>
      <c r="J119" t="s">
        <v>217</v>
      </c>
      <c r="K119" t="s">
        <v>91</v>
      </c>
      <c r="M119" t="s">
        <v>1107</v>
      </c>
      <c r="N119">
        <v>0</v>
      </c>
      <c r="O119">
        <v>0</v>
      </c>
      <c r="P119" t="s">
        <v>91</v>
      </c>
      <c r="Q119">
        <v>1</v>
      </c>
      <c r="R119" t="s">
        <v>1108</v>
      </c>
      <c r="S119" t="s">
        <v>139</v>
      </c>
      <c r="T119" t="s">
        <v>91</v>
      </c>
      <c r="U119" s="144"/>
    </row>
    <row r="120" spans="1:21">
      <c r="A120">
        <v>118</v>
      </c>
      <c r="B120" t="s">
        <v>220</v>
      </c>
      <c r="C120" t="s">
        <v>187</v>
      </c>
      <c r="D120" t="s">
        <v>1092</v>
      </c>
      <c r="E120" t="s">
        <v>23</v>
      </c>
      <c r="F120" t="s">
        <v>27</v>
      </c>
      <c r="G120" t="s">
        <v>227</v>
      </c>
      <c r="H120" t="s">
        <v>227</v>
      </c>
      <c r="I120">
        <v>1974</v>
      </c>
      <c r="J120">
        <v>1974</v>
      </c>
      <c r="K120" t="s">
        <v>91</v>
      </c>
      <c r="M120" t="s">
        <v>139</v>
      </c>
      <c r="N120">
        <v>0</v>
      </c>
      <c r="O120">
        <v>0</v>
      </c>
      <c r="P120" t="s">
        <v>91</v>
      </c>
      <c r="Q120">
        <v>1</v>
      </c>
      <c r="R120" t="s">
        <v>947</v>
      </c>
      <c r="S120" t="s">
        <v>139</v>
      </c>
      <c r="T120">
        <v>0</v>
      </c>
      <c r="U120" s="144"/>
    </row>
    <row r="121" spans="1:21">
      <c r="A121">
        <v>119</v>
      </c>
      <c r="B121" t="s">
        <v>220</v>
      </c>
      <c r="C121" t="s">
        <v>199</v>
      </c>
      <c r="D121" t="s">
        <v>1104</v>
      </c>
      <c r="E121" t="s">
        <v>23</v>
      </c>
      <c r="F121" t="s">
        <v>27</v>
      </c>
      <c r="G121" t="s">
        <v>225</v>
      </c>
      <c r="H121" t="s">
        <v>223</v>
      </c>
      <c r="I121">
        <v>1964</v>
      </c>
      <c r="J121">
        <v>1964</v>
      </c>
      <c r="K121" t="s">
        <v>91</v>
      </c>
      <c r="M121" t="s">
        <v>91</v>
      </c>
      <c r="N121">
        <v>1</v>
      </c>
      <c r="O121">
        <v>0</v>
      </c>
      <c r="P121" t="s">
        <v>91</v>
      </c>
      <c r="Q121">
        <v>1</v>
      </c>
      <c r="R121" t="s">
        <v>947</v>
      </c>
      <c r="S121" t="s">
        <v>139</v>
      </c>
      <c r="T121" t="s">
        <v>139</v>
      </c>
      <c r="U121" s="144"/>
    </row>
    <row r="122" spans="1:21">
      <c r="A122">
        <v>120</v>
      </c>
      <c r="B122" t="s">
        <v>220</v>
      </c>
      <c r="C122" t="s">
        <v>177</v>
      </c>
      <c r="D122" t="s">
        <v>1111</v>
      </c>
      <c r="E122" t="s">
        <v>221</v>
      </c>
      <c r="F122" t="s">
        <v>27</v>
      </c>
      <c r="G122" t="s">
        <v>224</v>
      </c>
      <c r="H122" t="s">
        <v>230</v>
      </c>
      <c r="I122">
        <v>1950</v>
      </c>
      <c r="J122">
        <v>1950</v>
      </c>
      <c r="K122" t="s">
        <v>91</v>
      </c>
      <c r="M122" t="s">
        <v>139</v>
      </c>
      <c r="N122">
        <v>0</v>
      </c>
      <c r="O122">
        <v>0</v>
      </c>
      <c r="P122" t="s">
        <v>91</v>
      </c>
      <c r="Q122">
        <v>1</v>
      </c>
      <c r="R122" t="s">
        <v>951</v>
      </c>
      <c r="S122" t="s">
        <v>91</v>
      </c>
      <c r="T122">
        <v>0</v>
      </c>
      <c r="U122" s="144"/>
    </row>
    <row r="123" spans="1:21">
      <c r="A123">
        <v>121</v>
      </c>
      <c r="B123" t="s">
        <v>282</v>
      </c>
      <c r="C123" t="s">
        <v>256</v>
      </c>
      <c r="D123" t="s">
        <v>1112</v>
      </c>
      <c r="E123" t="s">
        <v>22</v>
      </c>
      <c r="F123" t="s">
        <v>28</v>
      </c>
      <c r="G123" t="s">
        <v>283</v>
      </c>
      <c r="H123" t="s">
        <v>285</v>
      </c>
      <c r="I123">
        <v>1980</v>
      </c>
      <c r="J123" t="s">
        <v>39</v>
      </c>
      <c r="K123" t="s">
        <v>91</v>
      </c>
      <c r="M123" t="s">
        <v>139</v>
      </c>
      <c r="N123">
        <v>0</v>
      </c>
      <c r="O123">
        <v>0</v>
      </c>
      <c r="P123" t="s">
        <v>139</v>
      </c>
      <c r="Q123">
        <v>0</v>
      </c>
      <c r="R123" t="s">
        <v>1046</v>
      </c>
      <c r="S123" t="s">
        <v>91</v>
      </c>
      <c r="T123" t="s">
        <v>91</v>
      </c>
      <c r="U123" s="144"/>
    </row>
    <row r="124" spans="1:21">
      <c r="A124">
        <v>122</v>
      </c>
      <c r="B124" t="s">
        <v>282</v>
      </c>
      <c r="C124" t="s">
        <v>259</v>
      </c>
      <c r="D124" t="s">
        <v>1116</v>
      </c>
      <c r="E124" t="s">
        <v>22</v>
      </c>
      <c r="F124" t="s">
        <v>28</v>
      </c>
      <c r="G124" t="s">
        <v>283</v>
      </c>
      <c r="H124" t="s">
        <v>285</v>
      </c>
      <c r="I124">
        <v>1980</v>
      </c>
      <c r="J124" t="s">
        <v>39</v>
      </c>
      <c r="K124" t="s">
        <v>91</v>
      </c>
      <c r="M124" t="s">
        <v>139</v>
      </c>
      <c r="N124">
        <v>0</v>
      </c>
      <c r="O124">
        <v>0</v>
      </c>
      <c r="P124" t="s">
        <v>139</v>
      </c>
      <c r="Q124">
        <v>0</v>
      </c>
      <c r="R124" t="s">
        <v>1117</v>
      </c>
      <c r="S124" t="s">
        <v>91</v>
      </c>
      <c r="T124" t="s">
        <v>91</v>
      </c>
      <c r="U124" s="144"/>
    </row>
    <row r="125" spans="1:21">
      <c r="A125">
        <v>123</v>
      </c>
      <c r="B125" t="s">
        <v>282</v>
      </c>
      <c r="C125" t="s">
        <v>263</v>
      </c>
      <c r="D125" t="s">
        <v>1122</v>
      </c>
      <c r="E125" t="s">
        <v>22</v>
      </c>
      <c r="F125" t="s">
        <v>28</v>
      </c>
      <c r="G125" t="s">
        <v>283</v>
      </c>
      <c r="H125" t="s">
        <v>286</v>
      </c>
      <c r="I125">
        <v>1971</v>
      </c>
      <c r="J125" t="s">
        <v>39</v>
      </c>
      <c r="K125" t="s">
        <v>91</v>
      </c>
      <c r="U125" s="144" t="s">
        <v>292</v>
      </c>
    </row>
    <row r="126" spans="1:21">
      <c r="A126">
        <v>124</v>
      </c>
      <c r="B126" t="s">
        <v>282</v>
      </c>
      <c r="C126" t="s">
        <v>264</v>
      </c>
      <c r="D126" t="s">
        <v>1123</v>
      </c>
      <c r="E126" t="s">
        <v>22</v>
      </c>
      <c r="F126" t="s">
        <v>28</v>
      </c>
      <c r="G126" t="s">
        <v>284</v>
      </c>
      <c r="H126" t="s">
        <v>287</v>
      </c>
      <c r="I126">
        <v>1979</v>
      </c>
      <c r="J126" t="s">
        <v>39</v>
      </c>
      <c r="K126" t="s">
        <v>91</v>
      </c>
      <c r="U126" s="144"/>
    </row>
    <row r="127" spans="1:21">
      <c r="A127">
        <v>125</v>
      </c>
      <c r="B127" t="s">
        <v>282</v>
      </c>
      <c r="C127" t="s">
        <v>266</v>
      </c>
      <c r="D127" t="s">
        <v>1125</v>
      </c>
      <c r="E127" t="s">
        <v>22</v>
      </c>
      <c r="F127" t="s">
        <v>28</v>
      </c>
      <c r="G127" t="s">
        <v>284</v>
      </c>
      <c r="H127" t="s">
        <v>284</v>
      </c>
      <c r="I127">
        <v>1962</v>
      </c>
      <c r="J127" t="s">
        <v>291</v>
      </c>
      <c r="K127" t="s">
        <v>91</v>
      </c>
      <c r="U127" s="144"/>
    </row>
    <row r="128" spans="1:21">
      <c r="A128">
        <v>126</v>
      </c>
      <c r="B128" t="s">
        <v>282</v>
      </c>
      <c r="C128" t="s">
        <v>257</v>
      </c>
      <c r="D128" t="s">
        <v>1113</v>
      </c>
      <c r="E128" t="s">
        <v>22</v>
      </c>
      <c r="F128" t="s">
        <v>28</v>
      </c>
      <c r="G128" t="s">
        <v>28</v>
      </c>
      <c r="H128" t="s">
        <v>28</v>
      </c>
      <c r="I128">
        <v>1915</v>
      </c>
      <c r="J128" t="s">
        <v>40</v>
      </c>
      <c r="K128" t="s">
        <v>91</v>
      </c>
      <c r="M128" t="s">
        <v>139</v>
      </c>
      <c r="N128">
        <v>0</v>
      </c>
      <c r="O128">
        <v>0</v>
      </c>
      <c r="P128" t="s">
        <v>91</v>
      </c>
      <c r="Q128">
        <v>1</v>
      </c>
      <c r="R128" t="s">
        <v>947</v>
      </c>
      <c r="S128" t="s">
        <v>91</v>
      </c>
      <c r="T128" t="s">
        <v>91</v>
      </c>
      <c r="U128" s="144"/>
    </row>
    <row r="129" spans="1:21">
      <c r="A129">
        <v>127</v>
      </c>
      <c r="B129" t="s">
        <v>282</v>
      </c>
      <c r="C129" t="s">
        <v>258</v>
      </c>
      <c r="D129" t="s">
        <v>1114</v>
      </c>
      <c r="E129" t="s">
        <v>22</v>
      </c>
      <c r="F129" t="s">
        <v>28</v>
      </c>
      <c r="G129" t="s">
        <v>28</v>
      </c>
      <c r="H129" t="s">
        <v>28</v>
      </c>
      <c r="I129">
        <v>1980</v>
      </c>
      <c r="J129" t="s">
        <v>39</v>
      </c>
      <c r="K129" t="s">
        <v>91</v>
      </c>
      <c r="M129" t="s">
        <v>1115</v>
      </c>
      <c r="N129">
        <v>0</v>
      </c>
      <c r="O129">
        <v>1</v>
      </c>
      <c r="P129" t="s">
        <v>1115</v>
      </c>
      <c r="Q129">
        <v>0</v>
      </c>
      <c r="R129" t="s">
        <v>947</v>
      </c>
      <c r="S129" t="s">
        <v>91</v>
      </c>
      <c r="T129" t="s">
        <v>139</v>
      </c>
      <c r="U129" s="144"/>
    </row>
    <row r="130" spans="1:21">
      <c r="A130">
        <v>128</v>
      </c>
      <c r="B130" t="s">
        <v>282</v>
      </c>
      <c r="C130" t="s">
        <v>260</v>
      </c>
      <c r="D130" t="s">
        <v>1118</v>
      </c>
      <c r="E130" t="s">
        <v>22</v>
      </c>
      <c r="F130" t="s">
        <v>28</v>
      </c>
      <c r="G130" t="s">
        <v>28</v>
      </c>
      <c r="H130" t="s">
        <v>28</v>
      </c>
      <c r="J130" t="s">
        <v>39</v>
      </c>
      <c r="K130" t="s">
        <v>91</v>
      </c>
      <c r="M130" t="s">
        <v>1119</v>
      </c>
      <c r="N130">
        <v>0</v>
      </c>
      <c r="O130">
        <v>0</v>
      </c>
      <c r="P130" t="s">
        <v>139</v>
      </c>
      <c r="Q130">
        <v>0</v>
      </c>
      <c r="R130" t="s">
        <v>947</v>
      </c>
      <c r="S130" t="s">
        <v>91</v>
      </c>
      <c r="T130" t="s">
        <v>91</v>
      </c>
      <c r="U130" s="144" t="s">
        <v>292</v>
      </c>
    </row>
    <row r="131" spans="1:21">
      <c r="A131">
        <v>129</v>
      </c>
      <c r="B131" t="s">
        <v>282</v>
      </c>
      <c r="C131" t="s">
        <v>261</v>
      </c>
      <c r="D131" t="s">
        <v>1120</v>
      </c>
      <c r="E131" t="s">
        <v>22</v>
      </c>
      <c r="F131" t="s">
        <v>28</v>
      </c>
      <c r="G131" t="s">
        <v>28</v>
      </c>
      <c r="H131" t="s">
        <v>28</v>
      </c>
      <c r="I131">
        <v>2006</v>
      </c>
      <c r="J131" t="s">
        <v>39</v>
      </c>
      <c r="K131" t="s">
        <v>91</v>
      </c>
      <c r="M131" t="s">
        <v>139</v>
      </c>
      <c r="N131">
        <v>0</v>
      </c>
      <c r="O131">
        <v>0</v>
      </c>
      <c r="P131" t="s">
        <v>91</v>
      </c>
      <c r="Q131">
        <v>1</v>
      </c>
      <c r="R131" t="s">
        <v>951</v>
      </c>
      <c r="S131" t="s">
        <v>91</v>
      </c>
      <c r="T131" t="s">
        <v>139</v>
      </c>
      <c r="U131" s="144"/>
    </row>
    <row r="132" spans="1:21">
      <c r="A132">
        <v>130</v>
      </c>
      <c r="B132" t="s">
        <v>282</v>
      </c>
      <c r="C132" t="s">
        <v>262</v>
      </c>
      <c r="D132" t="s">
        <v>1121</v>
      </c>
      <c r="E132" t="s">
        <v>22</v>
      </c>
      <c r="F132" t="s">
        <v>28</v>
      </c>
      <c r="G132" t="s">
        <v>28</v>
      </c>
      <c r="H132" t="s">
        <v>290</v>
      </c>
      <c r="I132">
        <v>1956</v>
      </c>
      <c r="J132" t="s">
        <v>291</v>
      </c>
      <c r="K132" t="s">
        <v>91</v>
      </c>
      <c r="U132" s="144"/>
    </row>
    <row r="133" spans="1:21">
      <c r="A133">
        <v>131</v>
      </c>
      <c r="B133" t="s">
        <v>282</v>
      </c>
      <c r="C133" t="s">
        <v>265</v>
      </c>
      <c r="D133" t="s">
        <v>1124</v>
      </c>
      <c r="E133" t="s">
        <v>22</v>
      </c>
      <c r="F133" t="s">
        <v>28</v>
      </c>
      <c r="G133" t="s">
        <v>28</v>
      </c>
      <c r="H133" t="s">
        <v>288</v>
      </c>
      <c r="I133">
        <v>1972</v>
      </c>
      <c r="J133" t="s">
        <v>39</v>
      </c>
      <c r="K133" t="s">
        <v>91</v>
      </c>
      <c r="M133" t="s">
        <v>139</v>
      </c>
      <c r="N133">
        <v>0</v>
      </c>
      <c r="O133">
        <v>0</v>
      </c>
      <c r="P133" t="s">
        <v>139</v>
      </c>
      <c r="Q133">
        <v>0</v>
      </c>
      <c r="R133" t="s">
        <v>947</v>
      </c>
      <c r="S133" t="s">
        <v>91</v>
      </c>
      <c r="T133" t="s">
        <v>91</v>
      </c>
      <c r="U133" s="144"/>
    </row>
    <row r="134" spans="1:21">
      <c r="A134">
        <v>132</v>
      </c>
      <c r="B134" t="s">
        <v>282</v>
      </c>
      <c r="C134" t="s">
        <v>267</v>
      </c>
      <c r="D134" t="s">
        <v>1126</v>
      </c>
      <c r="E134" t="s">
        <v>22</v>
      </c>
      <c r="F134" t="s">
        <v>28</v>
      </c>
      <c r="G134" t="s">
        <v>28</v>
      </c>
      <c r="H134" t="s">
        <v>28</v>
      </c>
      <c r="I134">
        <v>1990</v>
      </c>
      <c r="J134" t="s">
        <v>39</v>
      </c>
      <c r="K134" t="s">
        <v>91</v>
      </c>
      <c r="U134" s="144"/>
    </row>
    <row r="135" spans="1:21">
      <c r="A135">
        <v>133</v>
      </c>
      <c r="B135" t="s">
        <v>282</v>
      </c>
      <c r="C135" t="s">
        <v>268</v>
      </c>
      <c r="D135" t="s">
        <v>1127</v>
      </c>
      <c r="E135" t="s">
        <v>22</v>
      </c>
      <c r="F135" t="s">
        <v>28</v>
      </c>
      <c r="G135" t="s">
        <v>28</v>
      </c>
      <c r="H135" t="s">
        <v>28</v>
      </c>
      <c r="J135" t="s">
        <v>40</v>
      </c>
      <c r="K135" t="s">
        <v>91</v>
      </c>
      <c r="M135" t="s">
        <v>139</v>
      </c>
      <c r="N135">
        <v>0</v>
      </c>
      <c r="O135">
        <v>0</v>
      </c>
      <c r="P135" t="s">
        <v>139</v>
      </c>
      <c r="Q135">
        <v>0</v>
      </c>
      <c r="R135" t="s">
        <v>947</v>
      </c>
      <c r="S135" t="s">
        <v>91</v>
      </c>
      <c r="T135" t="s">
        <v>139</v>
      </c>
      <c r="U135" s="144"/>
    </row>
    <row r="136" spans="1:21">
      <c r="A136">
        <v>134</v>
      </c>
      <c r="B136" t="s">
        <v>282</v>
      </c>
      <c r="C136" t="s">
        <v>269</v>
      </c>
      <c r="D136" t="s">
        <v>1128</v>
      </c>
      <c r="E136" t="s">
        <v>85</v>
      </c>
      <c r="F136" t="s">
        <v>28</v>
      </c>
      <c r="G136" t="s">
        <v>28</v>
      </c>
      <c r="H136" t="s">
        <v>289</v>
      </c>
      <c r="I136">
        <v>1950</v>
      </c>
      <c r="J136" t="s">
        <v>40</v>
      </c>
      <c r="K136" t="s">
        <v>91</v>
      </c>
      <c r="M136" t="s">
        <v>139</v>
      </c>
      <c r="N136">
        <v>0</v>
      </c>
      <c r="O136">
        <v>0</v>
      </c>
      <c r="P136" t="s">
        <v>139</v>
      </c>
      <c r="Q136">
        <v>0</v>
      </c>
      <c r="R136" t="s">
        <v>1129</v>
      </c>
      <c r="S136" t="s">
        <v>91</v>
      </c>
      <c r="T136" t="s">
        <v>139</v>
      </c>
      <c r="U136" s="144"/>
    </row>
    <row r="137" spans="1:21">
      <c r="A137">
        <v>135</v>
      </c>
      <c r="B137" t="s">
        <v>282</v>
      </c>
      <c r="C137" t="s">
        <v>271</v>
      </c>
      <c r="D137" t="s">
        <v>1131</v>
      </c>
      <c r="E137" t="s">
        <v>86</v>
      </c>
      <c r="F137" t="s">
        <v>28</v>
      </c>
      <c r="G137" t="s">
        <v>283</v>
      </c>
      <c r="H137" t="s">
        <v>285</v>
      </c>
      <c r="I137">
        <v>1998</v>
      </c>
      <c r="J137" t="s">
        <v>39</v>
      </c>
      <c r="K137" t="s">
        <v>91</v>
      </c>
      <c r="M137" t="s">
        <v>139</v>
      </c>
      <c r="N137">
        <v>0</v>
      </c>
      <c r="O137">
        <v>0</v>
      </c>
      <c r="P137" t="s">
        <v>139</v>
      </c>
      <c r="Q137">
        <v>0</v>
      </c>
      <c r="R137" t="s">
        <v>1046</v>
      </c>
      <c r="S137" t="s">
        <v>91</v>
      </c>
      <c r="T137" t="s">
        <v>91</v>
      </c>
      <c r="U137" s="144"/>
    </row>
    <row r="138" spans="1:21">
      <c r="A138">
        <v>136</v>
      </c>
      <c r="B138" t="s">
        <v>282</v>
      </c>
      <c r="C138" t="s">
        <v>272</v>
      </c>
      <c r="D138" t="s">
        <v>1132</v>
      </c>
      <c r="E138" t="s">
        <v>86</v>
      </c>
      <c r="F138" t="s">
        <v>28</v>
      </c>
      <c r="G138" t="s">
        <v>284</v>
      </c>
      <c r="H138" t="s">
        <v>287</v>
      </c>
      <c r="I138">
        <v>1997</v>
      </c>
      <c r="J138" t="s">
        <v>39</v>
      </c>
      <c r="K138" t="s">
        <v>91</v>
      </c>
      <c r="M138" t="s">
        <v>91</v>
      </c>
      <c r="N138">
        <v>1</v>
      </c>
      <c r="O138">
        <v>0</v>
      </c>
      <c r="P138" t="s">
        <v>91</v>
      </c>
      <c r="Q138">
        <v>1</v>
      </c>
      <c r="R138" t="s">
        <v>947</v>
      </c>
      <c r="S138" t="s">
        <v>139</v>
      </c>
      <c r="T138" t="s">
        <v>139</v>
      </c>
      <c r="U138" s="144"/>
    </row>
    <row r="139" spans="1:21">
      <c r="A139">
        <v>137</v>
      </c>
      <c r="B139" t="s">
        <v>282</v>
      </c>
      <c r="C139" t="s">
        <v>270</v>
      </c>
      <c r="D139" t="s">
        <v>1130</v>
      </c>
      <c r="E139" t="s">
        <v>86</v>
      </c>
      <c r="F139" t="s">
        <v>28</v>
      </c>
      <c r="G139" t="s">
        <v>28</v>
      </c>
      <c r="H139" t="s">
        <v>28</v>
      </c>
      <c r="I139">
        <v>1980</v>
      </c>
      <c r="J139" t="s">
        <v>39</v>
      </c>
      <c r="K139" t="s">
        <v>91</v>
      </c>
      <c r="M139" t="s">
        <v>91</v>
      </c>
      <c r="N139">
        <v>1</v>
      </c>
      <c r="O139">
        <v>0</v>
      </c>
      <c r="P139" t="s">
        <v>91</v>
      </c>
      <c r="Q139">
        <v>1</v>
      </c>
      <c r="R139" t="s">
        <v>947</v>
      </c>
      <c r="S139" t="s">
        <v>91</v>
      </c>
      <c r="T139" t="s">
        <v>91</v>
      </c>
      <c r="U139" s="144"/>
    </row>
    <row r="140" spans="1:21">
      <c r="A140">
        <v>138</v>
      </c>
      <c r="B140" t="s">
        <v>282</v>
      </c>
      <c r="C140" t="s">
        <v>273</v>
      </c>
      <c r="D140" t="s">
        <v>1133</v>
      </c>
      <c r="E140" t="s">
        <v>86</v>
      </c>
      <c r="F140" t="s">
        <v>28</v>
      </c>
      <c r="G140" t="s">
        <v>28</v>
      </c>
      <c r="H140" t="s">
        <v>28</v>
      </c>
      <c r="I140">
        <v>1980</v>
      </c>
      <c r="J140" t="s">
        <v>39</v>
      </c>
      <c r="K140" t="s">
        <v>91</v>
      </c>
      <c r="M140" t="s">
        <v>91</v>
      </c>
      <c r="N140">
        <v>1</v>
      </c>
      <c r="O140">
        <v>0</v>
      </c>
      <c r="P140" t="s">
        <v>91</v>
      </c>
      <c r="Q140">
        <v>1</v>
      </c>
      <c r="R140" t="s">
        <v>951</v>
      </c>
      <c r="S140" t="s">
        <v>91</v>
      </c>
      <c r="T140" t="s">
        <v>91</v>
      </c>
      <c r="U140" s="144"/>
    </row>
    <row r="141" spans="1:21">
      <c r="A141">
        <v>139</v>
      </c>
      <c r="B141" t="s">
        <v>282</v>
      </c>
      <c r="C141" t="s">
        <v>275</v>
      </c>
      <c r="D141" t="s">
        <v>1135</v>
      </c>
      <c r="E141" t="s">
        <v>23</v>
      </c>
      <c r="F141" t="s">
        <v>28</v>
      </c>
      <c r="G141" t="s">
        <v>283</v>
      </c>
      <c r="H141" t="s">
        <v>285</v>
      </c>
      <c r="I141">
        <v>1985</v>
      </c>
      <c r="J141" t="s">
        <v>292</v>
      </c>
      <c r="K141" t="s">
        <v>91</v>
      </c>
      <c r="M141" t="s">
        <v>1136</v>
      </c>
      <c r="N141">
        <v>1</v>
      </c>
      <c r="O141">
        <v>0</v>
      </c>
      <c r="P141" t="s">
        <v>139</v>
      </c>
      <c r="Q141">
        <v>0</v>
      </c>
      <c r="R141" t="s">
        <v>1042</v>
      </c>
      <c r="S141" t="s">
        <v>91</v>
      </c>
      <c r="T141" t="s">
        <v>139</v>
      </c>
      <c r="U141" s="144"/>
    </row>
    <row r="142" spans="1:21">
      <c r="A142">
        <v>140</v>
      </c>
      <c r="B142" t="s">
        <v>282</v>
      </c>
      <c r="C142" t="s">
        <v>277</v>
      </c>
      <c r="D142" t="s">
        <v>1138</v>
      </c>
      <c r="E142" t="s">
        <v>23</v>
      </c>
      <c r="F142" t="s">
        <v>28</v>
      </c>
      <c r="G142" t="s">
        <v>283</v>
      </c>
      <c r="H142" t="s">
        <v>286</v>
      </c>
      <c r="I142">
        <v>1975</v>
      </c>
      <c r="J142" t="s">
        <v>39</v>
      </c>
      <c r="K142" t="s">
        <v>91</v>
      </c>
      <c r="U142" s="144"/>
    </row>
    <row r="143" spans="1:21">
      <c r="A143">
        <v>141</v>
      </c>
      <c r="B143" t="s">
        <v>282</v>
      </c>
      <c r="C143" t="s">
        <v>279</v>
      </c>
      <c r="D143" t="s">
        <v>1140</v>
      </c>
      <c r="E143" t="s">
        <v>23</v>
      </c>
      <c r="F143" t="s">
        <v>28</v>
      </c>
      <c r="G143" t="s">
        <v>284</v>
      </c>
      <c r="H143" t="s">
        <v>284</v>
      </c>
      <c r="I143">
        <v>1962</v>
      </c>
      <c r="J143" t="s">
        <v>40</v>
      </c>
      <c r="K143" t="s">
        <v>91</v>
      </c>
      <c r="M143" t="s">
        <v>91</v>
      </c>
      <c r="N143">
        <v>1</v>
      </c>
      <c r="O143">
        <v>0</v>
      </c>
      <c r="P143" t="s">
        <v>91</v>
      </c>
      <c r="Q143">
        <v>1</v>
      </c>
      <c r="R143" t="s">
        <v>947</v>
      </c>
      <c r="S143" t="s">
        <v>91</v>
      </c>
      <c r="T143" t="s">
        <v>139</v>
      </c>
      <c r="U143" s="144"/>
    </row>
    <row r="144" spans="1:21">
      <c r="A144">
        <v>142</v>
      </c>
      <c r="B144" t="s">
        <v>282</v>
      </c>
      <c r="C144" t="s">
        <v>281</v>
      </c>
      <c r="D144" t="s">
        <v>1142</v>
      </c>
      <c r="E144" t="s">
        <v>23</v>
      </c>
      <c r="F144" t="s">
        <v>28</v>
      </c>
      <c r="G144" t="s">
        <v>284</v>
      </c>
      <c r="H144" t="s">
        <v>287</v>
      </c>
      <c r="I144">
        <v>1979</v>
      </c>
      <c r="J144" t="s">
        <v>39</v>
      </c>
      <c r="K144" t="s">
        <v>91</v>
      </c>
      <c r="M144" t="s">
        <v>91</v>
      </c>
      <c r="N144">
        <v>1</v>
      </c>
      <c r="O144">
        <v>0</v>
      </c>
      <c r="P144" t="s">
        <v>91</v>
      </c>
      <c r="Q144">
        <v>1</v>
      </c>
      <c r="R144" t="s">
        <v>947</v>
      </c>
      <c r="S144" t="s">
        <v>91</v>
      </c>
      <c r="T144" t="s">
        <v>139</v>
      </c>
      <c r="U144" s="144" t="s">
        <v>292</v>
      </c>
    </row>
    <row r="145" spans="1:21">
      <c r="A145">
        <v>143</v>
      </c>
      <c r="B145" t="s">
        <v>282</v>
      </c>
      <c r="C145" t="s">
        <v>274</v>
      </c>
      <c r="D145" t="s">
        <v>1134</v>
      </c>
      <c r="E145" t="s">
        <v>23</v>
      </c>
      <c r="F145" t="s">
        <v>28</v>
      </c>
      <c r="G145" t="s">
        <v>28</v>
      </c>
      <c r="H145" t="s">
        <v>28</v>
      </c>
      <c r="I145">
        <v>1990</v>
      </c>
      <c r="J145" t="s">
        <v>39</v>
      </c>
      <c r="K145" t="s">
        <v>91</v>
      </c>
      <c r="M145" t="s">
        <v>139</v>
      </c>
      <c r="N145">
        <v>0</v>
      </c>
      <c r="O145">
        <v>0</v>
      </c>
      <c r="P145" t="s">
        <v>139</v>
      </c>
      <c r="Q145">
        <v>0</v>
      </c>
      <c r="R145" t="s">
        <v>947</v>
      </c>
      <c r="S145" t="s">
        <v>91</v>
      </c>
      <c r="T145" t="s">
        <v>91</v>
      </c>
      <c r="U145" s="144"/>
    </row>
    <row r="146" spans="1:21">
      <c r="A146">
        <v>144</v>
      </c>
      <c r="B146" t="s">
        <v>282</v>
      </c>
      <c r="C146" t="s">
        <v>276</v>
      </c>
      <c r="D146" t="s">
        <v>1137</v>
      </c>
      <c r="E146" t="s">
        <v>23</v>
      </c>
      <c r="F146" t="s">
        <v>28</v>
      </c>
      <c r="G146" t="s">
        <v>28</v>
      </c>
      <c r="H146" t="s">
        <v>28</v>
      </c>
      <c r="I146">
        <v>1999</v>
      </c>
      <c r="J146" t="s">
        <v>39</v>
      </c>
      <c r="K146" t="s">
        <v>91</v>
      </c>
      <c r="U146" s="144"/>
    </row>
    <row r="147" spans="1:21">
      <c r="A147">
        <v>145</v>
      </c>
      <c r="B147" t="s">
        <v>282</v>
      </c>
      <c r="C147" t="s">
        <v>278</v>
      </c>
      <c r="D147" t="s">
        <v>1139</v>
      </c>
      <c r="E147" t="s">
        <v>23</v>
      </c>
      <c r="F147" t="s">
        <v>28</v>
      </c>
      <c r="G147" t="s">
        <v>28</v>
      </c>
      <c r="H147" t="s">
        <v>288</v>
      </c>
      <c r="I147">
        <v>1994</v>
      </c>
      <c r="J147" t="s">
        <v>39</v>
      </c>
      <c r="K147" t="s">
        <v>91</v>
      </c>
      <c r="U147" s="144"/>
    </row>
    <row r="148" spans="1:21">
      <c r="A148">
        <v>146</v>
      </c>
      <c r="B148" t="s">
        <v>282</v>
      </c>
      <c r="C148" t="s">
        <v>280</v>
      </c>
      <c r="D148" t="s">
        <v>1141</v>
      </c>
      <c r="E148" t="s">
        <v>23</v>
      </c>
      <c r="F148" t="s">
        <v>28</v>
      </c>
      <c r="G148" t="s">
        <v>28</v>
      </c>
      <c r="H148" t="s">
        <v>28</v>
      </c>
      <c r="I148">
        <v>1990</v>
      </c>
      <c r="J148" t="s">
        <v>39</v>
      </c>
      <c r="K148" t="s">
        <v>91</v>
      </c>
      <c r="M148" t="s">
        <v>91</v>
      </c>
      <c r="N148">
        <v>1</v>
      </c>
      <c r="O148">
        <v>0</v>
      </c>
      <c r="P148" t="s">
        <v>91</v>
      </c>
      <c r="Q148">
        <v>1</v>
      </c>
      <c r="R148" t="s">
        <v>947</v>
      </c>
      <c r="S148" t="s">
        <v>91</v>
      </c>
      <c r="T148" t="s">
        <v>91</v>
      </c>
      <c r="U148" s="144"/>
    </row>
    <row r="149" spans="1:21">
      <c r="A149">
        <v>147</v>
      </c>
      <c r="B149" t="s">
        <v>784</v>
      </c>
      <c r="C149" t="s">
        <v>681</v>
      </c>
      <c r="D149" t="s">
        <v>1143</v>
      </c>
      <c r="E149" t="s">
        <v>467</v>
      </c>
      <c r="F149" t="s">
        <v>25</v>
      </c>
      <c r="G149" t="s">
        <v>785</v>
      </c>
      <c r="H149" t="s">
        <v>25</v>
      </c>
      <c r="I149">
        <v>1999</v>
      </c>
      <c r="J149" t="s">
        <v>789</v>
      </c>
      <c r="K149" t="s">
        <v>91</v>
      </c>
      <c r="M149" t="s">
        <v>91</v>
      </c>
      <c r="N149">
        <v>1</v>
      </c>
      <c r="O149">
        <v>0</v>
      </c>
      <c r="P149" t="s">
        <v>91</v>
      </c>
      <c r="Q149">
        <v>1</v>
      </c>
      <c r="R149" t="s">
        <v>977</v>
      </c>
      <c r="S149" t="s">
        <v>91</v>
      </c>
      <c r="T149">
        <v>0</v>
      </c>
      <c r="U149" s="144"/>
    </row>
    <row r="150" spans="1:21">
      <c r="A150">
        <v>148</v>
      </c>
      <c r="B150" t="s">
        <v>784</v>
      </c>
      <c r="C150" t="s">
        <v>682</v>
      </c>
      <c r="D150" t="s">
        <v>1144</v>
      </c>
      <c r="E150" t="s">
        <v>467</v>
      </c>
      <c r="F150" t="s">
        <v>25</v>
      </c>
      <c r="G150" t="s">
        <v>785</v>
      </c>
      <c r="H150" t="s">
        <v>25</v>
      </c>
      <c r="I150">
        <v>1997</v>
      </c>
      <c r="J150" t="s">
        <v>139</v>
      </c>
      <c r="K150" t="s">
        <v>91</v>
      </c>
      <c r="U150" s="144"/>
    </row>
    <row r="151" spans="1:21">
      <c r="A151">
        <v>149</v>
      </c>
      <c r="B151" t="s">
        <v>784</v>
      </c>
      <c r="C151" t="s">
        <v>683</v>
      </c>
      <c r="D151" t="s">
        <v>1145</v>
      </c>
      <c r="E151" t="s">
        <v>467</v>
      </c>
      <c r="F151" t="s">
        <v>25</v>
      </c>
      <c r="G151" t="s">
        <v>785</v>
      </c>
      <c r="H151" t="s">
        <v>25</v>
      </c>
      <c r="I151">
        <v>1930</v>
      </c>
      <c r="J151" t="s">
        <v>91</v>
      </c>
      <c r="K151" t="s">
        <v>91</v>
      </c>
      <c r="M151" t="s">
        <v>139</v>
      </c>
      <c r="N151">
        <v>0</v>
      </c>
      <c r="O151">
        <v>0</v>
      </c>
      <c r="P151" t="s">
        <v>91</v>
      </c>
      <c r="Q151">
        <v>1</v>
      </c>
      <c r="R151" t="s">
        <v>951</v>
      </c>
      <c r="S151" t="s">
        <v>91</v>
      </c>
      <c r="T151">
        <v>0</v>
      </c>
      <c r="U151" s="144"/>
    </row>
    <row r="152" spans="1:21">
      <c r="A152">
        <v>150</v>
      </c>
      <c r="B152" t="s">
        <v>784</v>
      </c>
      <c r="C152" t="s">
        <v>684</v>
      </c>
      <c r="D152" t="s">
        <v>1146</v>
      </c>
      <c r="E152" t="s">
        <v>467</v>
      </c>
      <c r="F152" t="s">
        <v>25</v>
      </c>
      <c r="G152" t="s">
        <v>785</v>
      </c>
      <c r="H152" t="s">
        <v>25</v>
      </c>
      <c r="I152">
        <v>1978</v>
      </c>
      <c r="J152" t="s">
        <v>139</v>
      </c>
      <c r="K152" t="s">
        <v>91</v>
      </c>
      <c r="M152" t="s">
        <v>139</v>
      </c>
      <c r="N152">
        <v>0</v>
      </c>
      <c r="O152">
        <v>0</v>
      </c>
      <c r="P152" t="s">
        <v>91</v>
      </c>
      <c r="Q152">
        <v>1</v>
      </c>
      <c r="R152" t="s">
        <v>977</v>
      </c>
      <c r="S152" t="s">
        <v>91</v>
      </c>
      <c r="T152" t="s">
        <v>91</v>
      </c>
      <c r="U152" s="144"/>
    </row>
    <row r="153" spans="1:21">
      <c r="A153">
        <v>151</v>
      </c>
      <c r="B153" t="s">
        <v>784</v>
      </c>
      <c r="C153" t="s">
        <v>685</v>
      </c>
      <c r="D153" t="s">
        <v>1147</v>
      </c>
      <c r="E153" t="s">
        <v>467</v>
      </c>
      <c r="F153" t="s">
        <v>25</v>
      </c>
      <c r="G153" t="s">
        <v>785</v>
      </c>
      <c r="H153" t="s">
        <v>25</v>
      </c>
      <c r="I153">
        <v>2002</v>
      </c>
      <c r="J153" t="s">
        <v>139</v>
      </c>
      <c r="K153" t="s">
        <v>91</v>
      </c>
      <c r="M153" t="s">
        <v>1148</v>
      </c>
      <c r="N153">
        <v>0</v>
      </c>
      <c r="O153">
        <v>0</v>
      </c>
      <c r="P153" t="s">
        <v>1149</v>
      </c>
      <c r="Q153">
        <v>0</v>
      </c>
      <c r="R153" t="s">
        <v>951</v>
      </c>
      <c r="S153" t="s">
        <v>91</v>
      </c>
      <c r="T153" t="s">
        <v>91</v>
      </c>
      <c r="U153" s="144"/>
    </row>
    <row r="154" spans="1:21">
      <c r="A154">
        <v>152</v>
      </c>
      <c r="B154" t="s">
        <v>784</v>
      </c>
      <c r="C154" t="s">
        <v>686</v>
      </c>
      <c r="D154" t="s">
        <v>1150</v>
      </c>
      <c r="E154" t="s">
        <v>467</v>
      </c>
      <c r="F154" t="s">
        <v>25</v>
      </c>
      <c r="G154" t="s">
        <v>785</v>
      </c>
      <c r="H154" t="s">
        <v>25</v>
      </c>
      <c r="I154">
        <v>1978</v>
      </c>
      <c r="J154" t="s">
        <v>139</v>
      </c>
      <c r="K154" t="s">
        <v>91</v>
      </c>
      <c r="M154" t="s">
        <v>139</v>
      </c>
      <c r="N154">
        <v>0</v>
      </c>
      <c r="O154">
        <v>0</v>
      </c>
      <c r="P154" t="s">
        <v>91</v>
      </c>
      <c r="Q154">
        <v>1</v>
      </c>
      <c r="R154" t="s">
        <v>977</v>
      </c>
      <c r="S154" t="s">
        <v>91</v>
      </c>
      <c r="T154" t="s">
        <v>91</v>
      </c>
      <c r="U154" s="144" t="s">
        <v>292</v>
      </c>
    </row>
    <row r="155" spans="1:21">
      <c r="A155">
        <v>153</v>
      </c>
      <c r="B155" t="s">
        <v>784</v>
      </c>
      <c r="C155" t="s">
        <v>687</v>
      </c>
      <c r="D155" t="s">
        <v>1151</v>
      </c>
      <c r="E155" t="s">
        <v>467</v>
      </c>
      <c r="F155" t="s">
        <v>25</v>
      </c>
      <c r="G155" t="s">
        <v>785</v>
      </c>
      <c r="H155" t="s">
        <v>25</v>
      </c>
      <c r="I155">
        <v>1973</v>
      </c>
      <c r="J155" t="s">
        <v>91</v>
      </c>
      <c r="K155" t="s">
        <v>91</v>
      </c>
      <c r="M155" t="s">
        <v>1152</v>
      </c>
      <c r="N155">
        <v>1</v>
      </c>
      <c r="O155">
        <v>0</v>
      </c>
      <c r="P155" t="s">
        <v>91</v>
      </c>
      <c r="Q155">
        <v>1</v>
      </c>
      <c r="R155" t="s">
        <v>1042</v>
      </c>
      <c r="S155" t="s">
        <v>91</v>
      </c>
      <c r="T155" t="s">
        <v>139</v>
      </c>
      <c r="U155" s="144"/>
    </row>
    <row r="156" spans="1:21">
      <c r="A156">
        <v>154</v>
      </c>
      <c r="B156" t="s">
        <v>784</v>
      </c>
      <c r="C156" t="s">
        <v>688</v>
      </c>
      <c r="D156" t="s">
        <v>1153</v>
      </c>
      <c r="E156" t="s">
        <v>467</v>
      </c>
      <c r="F156" t="s">
        <v>25</v>
      </c>
      <c r="G156" t="s">
        <v>785</v>
      </c>
      <c r="H156" t="s">
        <v>25</v>
      </c>
      <c r="I156">
        <v>2014</v>
      </c>
      <c r="J156" t="s">
        <v>139</v>
      </c>
      <c r="K156" t="s">
        <v>91</v>
      </c>
      <c r="M156" t="s">
        <v>139</v>
      </c>
      <c r="N156">
        <v>0</v>
      </c>
      <c r="O156">
        <v>0</v>
      </c>
      <c r="P156" t="s">
        <v>139</v>
      </c>
      <c r="Q156">
        <v>0</v>
      </c>
      <c r="R156" t="s">
        <v>947</v>
      </c>
      <c r="S156" t="s">
        <v>91</v>
      </c>
      <c r="T156" t="s">
        <v>91</v>
      </c>
      <c r="U156" s="144"/>
    </row>
    <row r="157" spans="1:21">
      <c r="A157">
        <v>155</v>
      </c>
      <c r="B157" t="s">
        <v>784</v>
      </c>
      <c r="C157" t="s">
        <v>689</v>
      </c>
      <c r="D157" t="s">
        <v>1154</v>
      </c>
      <c r="E157" t="s">
        <v>467</v>
      </c>
      <c r="F157" t="s">
        <v>25</v>
      </c>
      <c r="G157" t="s">
        <v>785</v>
      </c>
      <c r="H157" t="s">
        <v>25</v>
      </c>
      <c r="I157">
        <v>1983</v>
      </c>
      <c r="J157" t="s">
        <v>139</v>
      </c>
      <c r="K157" t="s">
        <v>91</v>
      </c>
      <c r="M157" t="s">
        <v>1155</v>
      </c>
      <c r="N157">
        <v>0</v>
      </c>
      <c r="O157">
        <v>1</v>
      </c>
      <c r="P157" t="s">
        <v>91</v>
      </c>
      <c r="Q157">
        <v>1</v>
      </c>
      <c r="R157" t="s">
        <v>1156</v>
      </c>
      <c r="S157" t="s">
        <v>91</v>
      </c>
      <c r="T157" t="s">
        <v>91</v>
      </c>
      <c r="U157" s="144"/>
    </row>
    <row r="158" spans="1:21">
      <c r="A158">
        <v>156</v>
      </c>
      <c r="B158" t="s">
        <v>784</v>
      </c>
      <c r="C158" t="s">
        <v>690</v>
      </c>
      <c r="D158" t="s">
        <v>1157</v>
      </c>
      <c r="E158" t="s">
        <v>467</v>
      </c>
      <c r="F158" t="s">
        <v>25</v>
      </c>
      <c r="G158" t="s">
        <v>785</v>
      </c>
      <c r="H158" t="s">
        <v>25</v>
      </c>
      <c r="I158">
        <v>1995</v>
      </c>
      <c r="J158" t="s">
        <v>139</v>
      </c>
      <c r="K158" t="s">
        <v>91</v>
      </c>
      <c r="M158" t="s">
        <v>139</v>
      </c>
      <c r="N158">
        <v>0</v>
      </c>
      <c r="O158">
        <v>0</v>
      </c>
      <c r="P158" t="s">
        <v>139</v>
      </c>
      <c r="Q158">
        <v>0</v>
      </c>
      <c r="R158" t="s">
        <v>947</v>
      </c>
      <c r="S158" t="s">
        <v>91</v>
      </c>
      <c r="T158" t="s">
        <v>91</v>
      </c>
      <c r="U158" s="144"/>
    </row>
    <row r="159" spans="1:21">
      <c r="A159">
        <v>157</v>
      </c>
      <c r="B159" t="s">
        <v>784</v>
      </c>
      <c r="C159" t="s">
        <v>691</v>
      </c>
      <c r="D159" t="s">
        <v>1158</v>
      </c>
      <c r="E159" t="s">
        <v>467</v>
      </c>
      <c r="F159" t="s">
        <v>25</v>
      </c>
      <c r="G159" t="s">
        <v>785</v>
      </c>
      <c r="H159" t="s">
        <v>791</v>
      </c>
      <c r="I159">
        <v>1954</v>
      </c>
      <c r="J159" t="s">
        <v>789</v>
      </c>
      <c r="K159" t="s">
        <v>91</v>
      </c>
      <c r="M159" t="s">
        <v>139</v>
      </c>
      <c r="N159">
        <v>0</v>
      </c>
      <c r="O159">
        <v>0</v>
      </c>
      <c r="P159" t="s">
        <v>139</v>
      </c>
      <c r="Q159">
        <v>0</v>
      </c>
      <c r="R159" t="s">
        <v>977</v>
      </c>
      <c r="S159" t="s">
        <v>91</v>
      </c>
      <c r="T159">
        <v>0</v>
      </c>
      <c r="U159" s="144"/>
    </row>
    <row r="160" spans="1:21">
      <c r="A160">
        <v>158</v>
      </c>
      <c r="B160" t="s">
        <v>784</v>
      </c>
      <c r="C160" t="s">
        <v>695</v>
      </c>
      <c r="D160" t="s">
        <v>1163</v>
      </c>
      <c r="E160" t="s">
        <v>467</v>
      </c>
      <c r="F160" t="s">
        <v>25</v>
      </c>
      <c r="G160" t="s">
        <v>785</v>
      </c>
      <c r="H160" t="s">
        <v>795</v>
      </c>
      <c r="I160">
        <v>1972</v>
      </c>
      <c r="J160" t="s">
        <v>789</v>
      </c>
      <c r="K160" t="s">
        <v>91</v>
      </c>
      <c r="M160" t="s">
        <v>91</v>
      </c>
      <c r="N160">
        <v>1</v>
      </c>
      <c r="O160">
        <v>0</v>
      </c>
      <c r="P160" t="s">
        <v>91</v>
      </c>
      <c r="Q160">
        <v>1</v>
      </c>
      <c r="R160" t="s">
        <v>947</v>
      </c>
      <c r="S160" t="s">
        <v>139</v>
      </c>
      <c r="T160" t="s">
        <v>91</v>
      </c>
      <c r="U160" s="144"/>
    </row>
    <row r="161" spans="1:21">
      <c r="A161">
        <v>159</v>
      </c>
      <c r="B161" t="s">
        <v>784</v>
      </c>
      <c r="C161" t="s">
        <v>697</v>
      </c>
      <c r="D161" t="s">
        <v>1166</v>
      </c>
      <c r="E161" t="s">
        <v>467</v>
      </c>
      <c r="F161" t="s">
        <v>25</v>
      </c>
      <c r="G161" t="s">
        <v>785</v>
      </c>
      <c r="H161" t="s">
        <v>797</v>
      </c>
      <c r="I161">
        <v>1950</v>
      </c>
      <c r="J161" t="s">
        <v>789</v>
      </c>
      <c r="K161" t="s">
        <v>91</v>
      </c>
      <c r="M161" t="s">
        <v>91</v>
      </c>
      <c r="N161">
        <v>1</v>
      </c>
      <c r="O161">
        <v>0</v>
      </c>
      <c r="P161" t="s">
        <v>91</v>
      </c>
      <c r="Q161">
        <v>1</v>
      </c>
      <c r="R161" t="s">
        <v>947</v>
      </c>
      <c r="S161" t="s">
        <v>91</v>
      </c>
      <c r="T161" t="s">
        <v>91</v>
      </c>
      <c r="U161" s="144"/>
    </row>
    <row r="162" spans="1:21">
      <c r="A162">
        <v>160</v>
      </c>
      <c r="B162" t="s">
        <v>784</v>
      </c>
      <c r="C162" t="s">
        <v>698</v>
      </c>
      <c r="D162" t="s">
        <v>1167</v>
      </c>
      <c r="E162" t="s">
        <v>467</v>
      </c>
      <c r="F162" t="s">
        <v>25</v>
      </c>
      <c r="G162" t="s">
        <v>785</v>
      </c>
      <c r="H162" t="s">
        <v>805</v>
      </c>
      <c r="I162">
        <v>1950</v>
      </c>
      <c r="J162" t="s">
        <v>789</v>
      </c>
      <c r="K162" t="s">
        <v>91</v>
      </c>
      <c r="U162" s="144"/>
    </row>
    <row r="163" spans="1:21">
      <c r="A163">
        <v>161</v>
      </c>
      <c r="B163" t="s">
        <v>784</v>
      </c>
      <c r="C163" t="s">
        <v>700</v>
      </c>
      <c r="D163" t="s">
        <v>1169</v>
      </c>
      <c r="E163" t="s">
        <v>467</v>
      </c>
      <c r="F163" t="s">
        <v>25</v>
      </c>
      <c r="G163" t="s">
        <v>785</v>
      </c>
      <c r="H163" t="s">
        <v>52</v>
      </c>
      <c r="I163">
        <v>1973</v>
      </c>
      <c r="J163" t="s">
        <v>139</v>
      </c>
      <c r="K163" t="s">
        <v>91</v>
      </c>
      <c r="M163" t="s">
        <v>139</v>
      </c>
      <c r="N163">
        <v>0</v>
      </c>
      <c r="O163">
        <v>0</v>
      </c>
      <c r="P163" t="s">
        <v>91</v>
      </c>
      <c r="Q163">
        <v>1</v>
      </c>
      <c r="R163" t="s">
        <v>1170</v>
      </c>
      <c r="S163" t="s">
        <v>91</v>
      </c>
      <c r="T163" t="s">
        <v>139</v>
      </c>
      <c r="U163" s="144"/>
    </row>
    <row r="164" spans="1:21">
      <c r="A164">
        <v>162</v>
      </c>
      <c r="B164" t="s">
        <v>784</v>
      </c>
      <c r="C164" t="s">
        <v>702</v>
      </c>
      <c r="D164" t="s">
        <v>1172</v>
      </c>
      <c r="E164" t="s">
        <v>467</v>
      </c>
      <c r="F164" t="s">
        <v>25</v>
      </c>
      <c r="G164" t="s">
        <v>785</v>
      </c>
      <c r="H164" t="s">
        <v>798</v>
      </c>
      <c r="J164" t="s">
        <v>789</v>
      </c>
      <c r="K164" t="s">
        <v>91</v>
      </c>
      <c r="M164" t="s">
        <v>139</v>
      </c>
      <c r="N164">
        <v>0</v>
      </c>
      <c r="O164">
        <v>0</v>
      </c>
      <c r="P164" t="s">
        <v>91</v>
      </c>
      <c r="Q164">
        <v>1</v>
      </c>
      <c r="R164" t="s">
        <v>947</v>
      </c>
      <c r="S164" t="s">
        <v>91</v>
      </c>
      <c r="T164" t="s">
        <v>139</v>
      </c>
      <c r="U164" s="144"/>
    </row>
    <row r="165" spans="1:21">
      <c r="A165">
        <v>163</v>
      </c>
      <c r="B165" t="s">
        <v>784</v>
      </c>
      <c r="C165" t="s">
        <v>704</v>
      </c>
      <c r="D165" t="s">
        <v>1174</v>
      </c>
      <c r="E165" t="s">
        <v>467</v>
      </c>
      <c r="F165" t="s">
        <v>25</v>
      </c>
      <c r="G165" t="s">
        <v>785</v>
      </c>
      <c r="H165" t="s">
        <v>799</v>
      </c>
      <c r="J165" t="s">
        <v>789</v>
      </c>
      <c r="K165" t="s">
        <v>91</v>
      </c>
      <c r="M165" t="s">
        <v>1175</v>
      </c>
      <c r="N165">
        <v>0</v>
      </c>
      <c r="O165">
        <v>0</v>
      </c>
      <c r="P165" t="s">
        <v>91</v>
      </c>
      <c r="Q165">
        <v>1</v>
      </c>
      <c r="R165" t="s">
        <v>947</v>
      </c>
      <c r="S165" t="s">
        <v>91</v>
      </c>
      <c r="T165" t="s">
        <v>91</v>
      </c>
      <c r="U165" s="144"/>
    </row>
    <row r="166" spans="1:21">
      <c r="A166">
        <v>164</v>
      </c>
      <c r="B166" t="s">
        <v>784</v>
      </c>
      <c r="C166" t="s">
        <v>705</v>
      </c>
      <c r="D166" t="s">
        <v>1176</v>
      </c>
      <c r="E166" t="s">
        <v>467</v>
      </c>
      <c r="F166" t="s">
        <v>25</v>
      </c>
      <c r="G166" t="s">
        <v>785</v>
      </c>
      <c r="H166" t="s">
        <v>800</v>
      </c>
      <c r="J166" t="s">
        <v>789</v>
      </c>
      <c r="K166" t="s">
        <v>91</v>
      </c>
      <c r="M166" t="s">
        <v>139</v>
      </c>
      <c r="N166">
        <v>0</v>
      </c>
      <c r="O166">
        <v>0</v>
      </c>
      <c r="P166" t="s">
        <v>139</v>
      </c>
      <c r="Q166">
        <v>0</v>
      </c>
      <c r="R166" t="s">
        <v>947</v>
      </c>
      <c r="S166" t="s">
        <v>91</v>
      </c>
      <c r="T166" t="s">
        <v>91</v>
      </c>
      <c r="U166" s="144"/>
    </row>
    <row r="167" spans="1:21">
      <c r="A167">
        <v>165</v>
      </c>
      <c r="B167" t="s">
        <v>784</v>
      </c>
      <c r="C167" t="s">
        <v>706</v>
      </c>
      <c r="D167" t="s">
        <v>1177</v>
      </c>
      <c r="E167" t="s">
        <v>467</v>
      </c>
      <c r="F167" t="s">
        <v>25</v>
      </c>
      <c r="G167" t="s">
        <v>785</v>
      </c>
      <c r="H167" t="s">
        <v>236</v>
      </c>
      <c r="I167">
        <v>1977</v>
      </c>
      <c r="J167" t="s">
        <v>789</v>
      </c>
      <c r="K167" t="s">
        <v>91</v>
      </c>
      <c r="M167" t="s">
        <v>139</v>
      </c>
      <c r="N167">
        <v>0</v>
      </c>
      <c r="O167">
        <v>0</v>
      </c>
      <c r="P167" t="s">
        <v>139</v>
      </c>
      <c r="Q167">
        <v>0</v>
      </c>
      <c r="R167" t="s">
        <v>947</v>
      </c>
      <c r="S167" t="s">
        <v>91</v>
      </c>
      <c r="T167" t="s">
        <v>91</v>
      </c>
      <c r="U167" s="144"/>
    </row>
    <row r="168" spans="1:21">
      <c r="A168">
        <v>166</v>
      </c>
      <c r="B168" t="s">
        <v>784</v>
      </c>
      <c r="C168" t="s">
        <v>707</v>
      </c>
      <c r="D168" t="s">
        <v>1178</v>
      </c>
      <c r="E168" t="s">
        <v>467</v>
      </c>
      <c r="F168" t="s">
        <v>25</v>
      </c>
      <c r="G168" t="s">
        <v>785</v>
      </c>
      <c r="H168" t="s">
        <v>801</v>
      </c>
      <c r="I168">
        <v>1958</v>
      </c>
      <c r="J168" t="s">
        <v>789</v>
      </c>
      <c r="K168" t="s">
        <v>91</v>
      </c>
      <c r="M168" t="s">
        <v>91</v>
      </c>
      <c r="N168">
        <v>1</v>
      </c>
      <c r="O168">
        <v>0</v>
      </c>
      <c r="P168" t="s">
        <v>91</v>
      </c>
      <c r="Q168">
        <v>1</v>
      </c>
      <c r="R168" t="s">
        <v>951</v>
      </c>
      <c r="S168" t="s">
        <v>91</v>
      </c>
      <c r="T168" t="s">
        <v>139</v>
      </c>
      <c r="U168" s="144"/>
    </row>
    <row r="169" spans="1:21">
      <c r="A169">
        <v>167</v>
      </c>
      <c r="B169" t="s">
        <v>784</v>
      </c>
      <c r="C169" t="s">
        <v>708</v>
      </c>
      <c r="D169" t="s">
        <v>1179</v>
      </c>
      <c r="E169" t="s">
        <v>467</v>
      </c>
      <c r="F169" t="s">
        <v>25</v>
      </c>
      <c r="G169" t="s">
        <v>785</v>
      </c>
      <c r="H169" t="s">
        <v>802</v>
      </c>
      <c r="J169" t="s">
        <v>789</v>
      </c>
      <c r="K169" t="s">
        <v>91</v>
      </c>
      <c r="M169" t="s">
        <v>91</v>
      </c>
      <c r="N169">
        <v>1</v>
      </c>
      <c r="O169">
        <v>0</v>
      </c>
      <c r="P169" t="s">
        <v>91</v>
      </c>
      <c r="Q169">
        <v>1</v>
      </c>
      <c r="R169" t="s">
        <v>977</v>
      </c>
      <c r="S169" t="s">
        <v>91</v>
      </c>
      <c r="T169" t="s">
        <v>139</v>
      </c>
      <c r="U169" s="144"/>
    </row>
    <row r="170" spans="1:21">
      <c r="A170">
        <v>168</v>
      </c>
      <c r="B170" t="s">
        <v>784</v>
      </c>
      <c r="C170" t="s">
        <v>709</v>
      </c>
      <c r="D170" t="s">
        <v>1180</v>
      </c>
      <c r="E170" t="s">
        <v>467</v>
      </c>
      <c r="F170" t="s">
        <v>25</v>
      </c>
      <c r="G170" t="s">
        <v>785</v>
      </c>
      <c r="H170" t="s">
        <v>803</v>
      </c>
      <c r="I170">
        <v>1954</v>
      </c>
      <c r="J170" t="s">
        <v>789</v>
      </c>
      <c r="K170" t="s">
        <v>91</v>
      </c>
      <c r="M170" t="s">
        <v>139</v>
      </c>
      <c r="N170">
        <v>0</v>
      </c>
      <c r="O170">
        <v>0</v>
      </c>
      <c r="P170" t="s">
        <v>91</v>
      </c>
      <c r="Q170">
        <v>1</v>
      </c>
      <c r="R170" t="s">
        <v>947</v>
      </c>
      <c r="S170" t="s">
        <v>91</v>
      </c>
      <c r="T170" t="s">
        <v>91</v>
      </c>
      <c r="U170" s="144"/>
    </row>
    <row r="171" spans="1:21">
      <c r="A171">
        <v>169</v>
      </c>
      <c r="B171" t="s">
        <v>784</v>
      </c>
      <c r="C171" t="s">
        <v>710</v>
      </c>
      <c r="D171" t="s">
        <v>1181</v>
      </c>
      <c r="E171" t="s">
        <v>467</v>
      </c>
      <c r="F171" t="s">
        <v>25</v>
      </c>
      <c r="G171" t="s">
        <v>785</v>
      </c>
      <c r="H171" t="s">
        <v>804</v>
      </c>
      <c r="I171">
        <v>1935</v>
      </c>
      <c r="J171" t="s">
        <v>789</v>
      </c>
      <c r="K171" t="s">
        <v>91</v>
      </c>
      <c r="M171" t="s">
        <v>139</v>
      </c>
      <c r="N171">
        <v>0</v>
      </c>
      <c r="O171">
        <v>0</v>
      </c>
      <c r="P171" t="s">
        <v>91</v>
      </c>
      <c r="Q171">
        <v>1</v>
      </c>
      <c r="R171" t="s">
        <v>947</v>
      </c>
      <c r="S171" t="s">
        <v>91</v>
      </c>
      <c r="T171" t="s">
        <v>91</v>
      </c>
      <c r="U171" s="144"/>
    </row>
    <row r="172" spans="1:21">
      <c r="A172">
        <v>170</v>
      </c>
      <c r="B172" t="s">
        <v>784</v>
      </c>
      <c r="C172" t="s">
        <v>711</v>
      </c>
      <c r="D172" t="s">
        <v>1182</v>
      </c>
      <c r="E172" t="s">
        <v>467</v>
      </c>
      <c r="F172" t="s">
        <v>25</v>
      </c>
      <c r="G172" t="s">
        <v>785</v>
      </c>
      <c r="H172" t="s">
        <v>803</v>
      </c>
      <c r="I172">
        <v>1949</v>
      </c>
      <c r="J172" t="s">
        <v>789</v>
      </c>
      <c r="K172" t="s">
        <v>91</v>
      </c>
      <c r="M172" t="s">
        <v>139</v>
      </c>
      <c r="N172">
        <v>0</v>
      </c>
      <c r="O172">
        <v>0</v>
      </c>
      <c r="P172" t="s">
        <v>91</v>
      </c>
      <c r="Q172">
        <v>1</v>
      </c>
      <c r="R172" t="s">
        <v>977</v>
      </c>
      <c r="S172" t="s">
        <v>91</v>
      </c>
      <c r="T172" t="s">
        <v>139</v>
      </c>
      <c r="U172" s="144"/>
    </row>
    <row r="173" spans="1:21">
      <c r="A173">
        <v>171</v>
      </c>
      <c r="B173" t="s">
        <v>784</v>
      </c>
      <c r="C173" t="s">
        <v>714</v>
      </c>
      <c r="D173" t="s">
        <v>1185</v>
      </c>
      <c r="E173" t="s">
        <v>467</v>
      </c>
      <c r="F173" t="s">
        <v>25</v>
      </c>
      <c r="G173" t="s">
        <v>785</v>
      </c>
      <c r="H173" t="s">
        <v>59</v>
      </c>
      <c r="J173" t="s">
        <v>789</v>
      </c>
      <c r="K173" t="s">
        <v>91</v>
      </c>
      <c r="M173" t="s">
        <v>139</v>
      </c>
      <c r="N173">
        <v>0</v>
      </c>
      <c r="O173">
        <v>0</v>
      </c>
      <c r="P173" t="s">
        <v>139</v>
      </c>
      <c r="Q173">
        <v>0</v>
      </c>
      <c r="R173" t="s">
        <v>947</v>
      </c>
      <c r="S173" t="s">
        <v>91</v>
      </c>
      <c r="T173" t="s">
        <v>139</v>
      </c>
      <c r="U173" s="144"/>
    </row>
    <row r="174" spans="1:21">
      <c r="A174">
        <v>172</v>
      </c>
      <c r="B174" t="s">
        <v>784</v>
      </c>
      <c r="C174" t="s">
        <v>716</v>
      </c>
      <c r="D174" t="s">
        <v>1187</v>
      </c>
      <c r="E174" t="s">
        <v>467</v>
      </c>
      <c r="F174" t="s">
        <v>25</v>
      </c>
      <c r="G174" t="s">
        <v>785</v>
      </c>
      <c r="H174" t="s">
        <v>809</v>
      </c>
      <c r="I174">
        <v>1980</v>
      </c>
      <c r="J174" t="s">
        <v>139</v>
      </c>
      <c r="K174" t="s">
        <v>91</v>
      </c>
      <c r="M174" t="s">
        <v>139</v>
      </c>
      <c r="N174">
        <v>0</v>
      </c>
      <c r="O174">
        <v>0</v>
      </c>
      <c r="P174" t="s">
        <v>139</v>
      </c>
      <c r="Q174">
        <v>0</v>
      </c>
      <c r="R174" t="s">
        <v>951</v>
      </c>
      <c r="S174" t="s">
        <v>91</v>
      </c>
      <c r="T174" t="s">
        <v>91</v>
      </c>
      <c r="U174" s="144"/>
    </row>
    <row r="175" spans="1:21">
      <c r="A175">
        <v>173</v>
      </c>
      <c r="B175" t="s">
        <v>784</v>
      </c>
      <c r="C175" t="s">
        <v>729</v>
      </c>
      <c r="D175" t="s">
        <v>1202</v>
      </c>
      <c r="E175" t="s">
        <v>467</v>
      </c>
      <c r="F175" t="s">
        <v>25</v>
      </c>
      <c r="G175" t="s">
        <v>785</v>
      </c>
      <c r="H175" t="s">
        <v>818</v>
      </c>
      <c r="I175">
        <v>1950</v>
      </c>
      <c r="J175" t="s">
        <v>789</v>
      </c>
      <c r="K175" t="s">
        <v>91</v>
      </c>
      <c r="M175" t="s">
        <v>139</v>
      </c>
      <c r="N175">
        <v>0</v>
      </c>
      <c r="O175">
        <v>0</v>
      </c>
      <c r="P175" t="s">
        <v>91</v>
      </c>
      <c r="Q175">
        <v>1</v>
      </c>
      <c r="R175" t="s">
        <v>947</v>
      </c>
      <c r="S175" t="s">
        <v>91</v>
      </c>
      <c r="T175" t="s">
        <v>91</v>
      </c>
      <c r="U175" s="144"/>
    </row>
    <row r="176" spans="1:21">
      <c r="A176">
        <v>174</v>
      </c>
      <c r="B176" t="s">
        <v>784</v>
      </c>
      <c r="C176" t="s">
        <v>731</v>
      </c>
      <c r="D176" t="s">
        <v>1205</v>
      </c>
      <c r="E176" t="s">
        <v>467</v>
      </c>
      <c r="F176" t="s">
        <v>25</v>
      </c>
      <c r="G176" t="s">
        <v>785</v>
      </c>
      <c r="H176" t="s">
        <v>820</v>
      </c>
      <c r="J176" t="s">
        <v>789</v>
      </c>
      <c r="K176" t="s">
        <v>91</v>
      </c>
      <c r="M176" t="s">
        <v>139</v>
      </c>
      <c r="N176">
        <v>0</v>
      </c>
      <c r="O176">
        <v>0</v>
      </c>
      <c r="P176" t="s">
        <v>91</v>
      </c>
      <c r="Q176">
        <v>1</v>
      </c>
      <c r="R176" t="s">
        <v>947</v>
      </c>
      <c r="S176" t="s">
        <v>91</v>
      </c>
      <c r="T176" t="s">
        <v>91</v>
      </c>
      <c r="U176" s="144"/>
    </row>
    <row r="177" spans="1:21">
      <c r="A177">
        <v>175</v>
      </c>
      <c r="B177" t="s">
        <v>784</v>
      </c>
      <c r="C177" t="s">
        <v>732</v>
      </c>
      <c r="D177" t="s">
        <v>1206</v>
      </c>
      <c r="E177" t="s">
        <v>467</v>
      </c>
      <c r="F177" t="s">
        <v>25</v>
      </c>
      <c r="G177" t="s">
        <v>785</v>
      </c>
      <c r="H177" t="s">
        <v>821</v>
      </c>
      <c r="I177">
        <v>1929</v>
      </c>
      <c r="J177" t="s">
        <v>789</v>
      </c>
      <c r="K177" t="s">
        <v>91</v>
      </c>
      <c r="M177" t="s">
        <v>91</v>
      </c>
      <c r="N177">
        <v>1</v>
      </c>
      <c r="O177">
        <v>0</v>
      </c>
      <c r="P177" t="s">
        <v>91</v>
      </c>
      <c r="Q177">
        <v>1</v>
      </c>
      <c r="R177" t="s">
        <v>947</v>
      </c>
      <c r="S177" t="s">
        <v>139</v>
      </c>
      <c r="T177" t="s">
        <v>91</v>
      </c>
      <c r="U177" s="144"/>
    </row>
    <row r="178" spans="1:21">
      <c r="A178">
        <v>176</v>
      </c>
      <c r="B178" t="s">
        <v>784</v>
      </c>
      <c r="C178" t="s">
        <v>735</v>
      </c>
      <c r="D178" t="s">
        <v>1209</v>
      </c>
      <c r="E178" t="s">
        <v>467</v>
      </c>
      <c r="F178" t="s">
        <v>25</v>
      </c>
      <c r="G178" t="s">
        <v>785</v>
      </c>
      <c r="H178" t="s">
        <v>825</v>
      </c>
      <c r="I178">
        <v>1955</v>
      </c>
      <c r="J178" t="s">
        <v>789</v>
      </c>
      <c r="K178" t="s">
        <v>91</v>
      </c>
      <c r="U178" s="144"/>
    </row>
    <row r="179" spans="1:21">
      <c r="A179">
        <v>177</v>
      </c>
      <c r="B179" t="s">
        <v>784</v>
      </c>
      <c r="C179" t="s">
        <v>701</v>
      </c>
      <c r="D179" t="s">
        <v>1171</v>
      </c>
      <c r="E179" t="s">
        <v>467</v>
      </c>
      <c r="F179" t="s">
        <v>25</v>
      </c>
      <c r="G179" t="s">
        <v>788</v>
      </c>
      <c r="H179" t="s">
        <v>53</v>
      </c>
      <c r="I179">
        <v>1972</v>
      </c>
      <c r="J179" t="s">
        <v>789</v>
      </c>
      <c r="K179" t="s">
        <v>91</v>
      </c>
      <c r="M179" t="s">
        <v>139</v>
      </c>
      <c r="N179">
        <v>0</v>
      </c>
      <c r="O179">
        <v>0</v>
      </c>
      <c r="P179" t="s">
        <v>139</v>
      </c>
      <c r="Q179">
        <v>0</v>
      </c>
      <c r="R179" t="s">
        <v>947</v>
      </c>
      <c r="S179" t="s">
        <v>139</v>
      </c>
      <c r="T179" t="s">
        <v>91</v>
      </c>
      <c r="U179" s="144"/>
    </row>
    <row r="180" spans="1:21">
      <c r="A180">
        <v>178</v>
      </c>
      <c r="B180" t="s">
        <v>784</v>
      </c>
      <c r="C180" t="s">
        <v>719</v>
      </c>
      <c r="D180" t="s">
        <v>1190</v>
      </c>
      <c r="E180" t="s">
        <v>467</v>
      </c>
      <c r="F180" t="s">
        <v>25</v>
      </c>
      <c r="G180" t="s">
        <v>788</v>
      </c>
      <c r="H180" t="s">
        <v>812</v>
      </c>
      <c r="I180">
        <v>1972</v>
      </c>
      <c r="J180" t="s">
        <v>139</v>
      </c>
      <c r="K180" t="s">
        <v>91</v>
      </c>
      <c r="M180" t="s">
        <v>91</v>
      </c>
      <c r="N180">
        <v>1</v>
      </c>
      <c r="O180">
        <v>0</v>
      </c>
      <c r="P180" t="s">
        <v>91</v>
      </c>
      <c r="Q180">
        <v>1</v>
      </c>
      <c r="R180" t="s">
        <v>947</v>
      </c>
      <c r="S180" t="s">
        <v>139</v>
      </c>
      <c r="T180" t="s">
        <v>91</v>
      </c>
      <c r="U180" s="144"/>
    </row>
    <row r="181" spans="1:21">
      <c r="A181">
        <v>179</v>
      </c>
      <c r="B181" t="s">
        <v>784</v>
      </c>
      <c r="C181" t="s">
        <v>721</v>
      </c>
      <c r="D181" t="s">
        <v>1192</v>
      </c>
      <c r="E181" t="s">
        <v>467</v>
      </c>
      <c r="F181" t="s">
        <v>25</v>
      </c>
      <c r="G181" t="s">
        <v>788</v>
      </c>
      <c r="H181" t="s">
        <v>814</v>
      </c>
      <c r="I181">
        <v>1954</v>
      </c>
      <c r="J181" t="s">
        <v>789</v>
      </c>
      <c r="K181" t="s">
        <v>91</v>
      </c>
      <c r="M181" t="s">
        <v>91</v>
      </c>
      <c r="N181">
        <v>1</v>
      </c>
      <c r="O181">
        <v>0</v>
      </c>
      <c r="P181" t="s">
        <v>91</v>
      </c>
      <c r="Q181">
        <v>1</v>
      </c>
      <c r="R181" t="s">
        <v>947</v>
      </c>
      <c r="S181" t="s">
        <v>139</v>
      </c>
      <c r="T181" t="s">
        <v>139</v>
      </c>
      <c r="U181" s="144"/>
    </row>
    <row r="182" spans="1:21">
      <c r="A182">
        <v>180</v>
      </c>
      <c r="B182" t="s">
        <v>784</v>
      </c>
      <c r="C182" t="s">
        <v>724</v>
      </c>
      <c r="D182" t="s">
        <v>1195</v>
      </c>
      <c r="E182" t="s">
        <v>467</v>
      </c>
      <c r="F182" t="s">
        <v>25</v>
      </c>
      <c r="G182" t="s">
        <v>788</v>
      </c>
      <c r="H182" t="s">
        <v>815</v>
      </c>
      <c r="I182">
        <v>1976</v>
      </c>
      <c r="J182" t="s">
        <v>789</v>
      </c>
      <c r="K182" t="s">
        <v>91</v>
      </c>
      <c r="M182" t="s">
        <v>91</v>
      </c>
      <c r="N182">
        <v>1</v>
      </c>
      <c r="O182">
        <v>0</v>
      </c>
      <c r="P182" t="s">
        <v>91</v>
      </c>
      <c r="Q182">
        <v>1</v>
      </c>
      <c r="R182" t="s">
        <v>947</v>
      </c>
      <c r="S182" t="s">
        <v>139</v>
      </c>
      <c r="T182" t="s">
        <v>91</v>
      </c>
      <c r="U182" s="144"/>
    </row>
    <row r="183" spans="1:21">
      <c r="A183">
        <v>181</v>
      </c>
      <c r="B183" t="s">
        <v>784</v>
      </c>
      <c r="C183" t="s">
        <v>725</v>
      </c>
      <c r="D183" t="s">
        <v>1196</v>
      </c>
      <c r="E183" t="s">
        <v>467</v>
      </c>
      <c r="F183" t="s">
        <v>25</v>
      </c>
      <c r="G183" t="s">
        <v>788</v>
      </c>
      <c r="H183" t="s">
        <v>816</v>
      </c>
      <c r="I183">
        <v>1962</v>
      </c>
      <c r="J183" t="s">
        <v>789</v>
      </c>
      <c r="K183" t="s">
        <v>91</v>
      </c>
      <c r="M183" t="s">
        <v>91</v>
      </c>
      <c r="N183">
        <v>1</v>
      </c>
      <c r="O183">
        <v>0</v>
      </c>
      <c r="P183" t="s">
        <v>91</v>
      </c>
      <c r="Q183">
        <v>1</v>
      </c>
      <c r="R183" t="s">
        <v>947</v>
      </c>
      <c r="S183" t="s">
        <v>1197</v>
      </c>
      <c r="T183" t="s">
        <v>91</v>
      </c>
      <c r="U183" s="144"/>
    </row>
    <row r="184" spans="1:21">
      <c r="A184">
        <v>182</v>
      </c>
      <c r="B184" t="s">
        <v>784</v>
      </c>
      <c r="C184" t="s">
        <v>727</v>
      </c>
      <c r="D184" t="s">
        <v>1199</v>
      </c>
      <c r="E184" t="s">
        <v>467</v>
      </c>
      <c r="F184" t="s">
        <v>25</v>
      </c>
      <c r="G184" t="s">
        <v>788</v>
      </c>
      <c r="H184" t="s">
        <v>679</v>
      </c>
      <c r="I184">
        <v>1949</v>
      </c>
      <c r="J184" t="s">
        <v>789</v>
      </c>
      <c r="K184" t="s">
        <v>91</v>
      </c>
      <c r="M184" t="s">
        <v>139</v>
      </c>
      <c r="N184">
        <v>0</v>
      </c>
      <c r="O184">
        <v>0</v>
      </c>
      <c r="P184" t="s">
        <v>91</v>
      </c>
      <c r="Q184">
        <v>1</v>
      </c>
      <c r="R184" t="s">
        <v>1200</v>
      </c>
      <c r="S184" t="s">
        <v>139</v>
      </c>
      <c r="T184" t="s">
        <v>91</v>
      </c>
      <c r="U184" s="144"/>
    </row>
    <row r="185" spans="1:21">
      <c r="A185">
        <v>183</v>
      </c>
      <c r="B185" t="s">
        <v>784</v>
      </c>
      <c r="C185" t="s">
        <v>728</v>
      </c>
      <c r="D185" t="s">
        <v>1201</v>
      </c>
      <c r="E185" t="s">
        <v>467</v>
      </c>
      <c r="F185" t="s">
        <v>25</v>
      </c>
      <c r="G185" t="s">
        <v>788</v>
      </c>
      <c r="H185" t="s">
        <v>817</v>
      </c>
      <c r="J185" t="s">
        <v>789</v>
      </c>
      <c r="K185" t="s">
        <v>91</v>
      </c>
      <c r="M185" t="s">
        <v>91</v>
      </c>
      <c r="N185">
        <v>1</v>
      </c>
      <c r="O185">
        <v>0</v>
      </c>
      <c r="P185" t="s">
        <v>91</v>
      </c>
      <c r="Q185">
        <v>1</v>
      </c>
      <c r="R185" t="s">
        <v>947</v>
      </c>
      <c r="S185" t="s">
        <v>139</v>
      </c>
      <c r="T185" t="s">
        <v>91</v>
      </c>
      <c r="U185" s="144"/>
    </row>
    <row r="186" spans="1:21">
      <c r="A186">
        <v>184</v>
      </c>
      <c r="B186" t="s">
        <v>784</v>
      </c>
      <c r="C186" t="s">
        <v>733</v>
      </c>
      <c r="D186" t="s">
        <v>1207</v>
      </c>
      <c r="E186" t="s">
        <v>467</v>
      </c>
      <c r="F186" t="s">
        <v>25</v>
      </c>
      <c r="G186" t="s">
        <v>788</v>
      </c>
      <c r="H186" t="s">
        <v>823</v>
      </c>
      <c r="I186">
        <v>1952</v>
      </c>
      <c r="J186" t="s">
        <v>91</v>
      </c>
      <c r="K186" t="s">
        <v>91</v>
      </c>
      <c r="M186" t="s">
        <v>91</v>
      </c>
      <c r="N186">
        <v>1</v>
      </c>
      <c r="O186">
        <v>0</v>
      </c>
      <c r="P186" t="s">
        <v>91</v>
      </c>
      <c r="Q186">
        <v>1</v>
      </c>
      <c r="R186" t="s">
        <v>947</v>
      </c>
      <c r="S186" t="s">
        <v>139</v>
      </c>
      <c r="T186">
        <v>0</v>
      </c>
      <c r="U186" s="144"/>
    </row>
    <row r="187" spans="1:21">
      <c r="A187">
        <v>185</v>
      </c>
      <c r="B187" t="s">
        <v>784</v>
      </c>
      <c r="C187" t="s">
        <v>694</v>
      </c>
      <c r="D187" t="s">
        <v>1163</v>
      </c>
      <c r="E187" t="s">
        <v>467</v>
      </c>
      <c r="F187" t="s">
        <v>25</v>
      </c>
      <c r="G187" t="s">
        <v>787</v>
      </c>
      <c r="H187" t="s">
        <v>794</v>
      </c>
      <c r="J187" t="s">
        <v>789</v>
      </c>
      <c r="K187" t="s">
        <v>91</v>
      </c>
      <c r="M187" t="s">
        <v>91</v>
      </c>
      <c r="N187">
        <v>1</v>
      </c>
      <c r="O187">
        <v>0</v>
      </c>
      <c r="P187" t="s">
        <v>91</v>
      </c>
      <c r="Q187">
        <v>1</v>
      </c>
      <c r="R187" t="s">
        <v>947</v>
      </c>
      <c r="S187" t="s">
        <v>139</v>
      </c>
      <c r="T187" t="s">
        <v>91</v>
      </c>
      <c r="U187" s="144"/>
    </row>
    <row r="188" spans="1:21">
      <c r="A188">
        <v>186</v>
      </c>
      <c r="B188" t="s">
        <v>784</v>
      </c>
      <c r="C188" t="s">
        <v>696</v>
      </c>
      <c r="D188" t="s">
        <v>1164</v>
      </c>
      <c r="E188" t="s">
        <v>467</v>
      </c>
      <c r="F188" t="s">
        <v>25</v>
      </c>
      <c r="G188" t="s">
        <v>787</v>
      </c>
      <c r="H188" t="s">
        <v>796</v>
      </c>
      <c r="J188" t="s">
        <v>789</v>
      </c>
      <c r="K188" t="s">
        <v>91</v>
      </c>
      <c r="M188" t="s">
        <v>91</v>
      </c>
      <c r="N188">
        <v>1</v>
      </c>
      <c r="O188">
        <v>0</v>
      </c>
      <c r="P188" t="s">
        <v>91</v>
      </c>
      <c r="Q188">
        <v>1</v>
      </c>
      <c r="R188" t="s">
        <v>1165</v>
      </c>
      <c r="S188" t="s">
        <v>139</v>
      </c>
      <c r="T188" t="s">
        <v>91</v>
      </c>
      <c r="U188" s="144"/>
    </row>
    <row r="189" spans="1:21">
      <c r="A189">
        <v>187</v>
      </c>
      <c r="B189" t="s">
        <v>784</v>
      </c>
      <c r="C189" t="s">
        <v>703</v>
      </c>
      <c r="D189" t="s">
        <v>1173</v>
      </c>
      <c r="E189" t="s">
        <v>467</v>
      </c>
      <c r="F189" t="s">
        <v>25</v>
      </c>
      <c r="G189" t="s">
        <v>787</v>
      </c>
      <c r="H189" t="s">
        <v>54</v>
      </c>
      <c r="I189">
        <v>1950</v>
      </c>
      <c r="J189" t="s">
        <v>789</v>
      </c>
      <c r="K189" t="s">
        <v>91</v>
      </c>
      <c r="M189" t="s">
        <v>91</v>
      </c>
      <c r="N189">
        <v>1</v>
      </c>
      <c r="O189">
        <v>0</v>
      </c>
      <c r="P189" t="s">
        <v>91</v>
      </c>
      <c r="Q189">
        <v>1</v>
      </c>
      <c r="R189" t="s">
        <v>947</v>
      </c>
      <c r="S189" t="s">
        <v>139</v>
      </c>
      <c r="T189" t="s">
        <v>91</v>
      </c>
      <c r="U189" s="144"/>
    </row>
    <row r="190" spans="1:21">
      <c r="A190">
        <v>188</v>
      </c>
      <c r="B190" t="s">
        <v>784</v>
      </c>
      <c r="C190" t="s">
        <v>715</v>
      </c>
      <c r="D190" t="s">
        <v>1186</v>
      </c>
      <c r="E190" t="s">
        <v>467</v>
      </c>
      <c r="F190" t="s">
        <v>25</v>
      </c>
      <c r="G190" t="s">
        <v>787</v>
      </c>
      <c r="H190" t="s">
        <v>808</v>
      </c>
      <c r="I190">
        <v>1927</v>
      </c>
      <c r="J190" t="s">
        <v>789</v>
      </c>
      <c r="K190" t="s">
        <v>91</v>
      </c>
      <c r="M190" t="s">
        <v>91</v>
      </c>
      <c r="N190">
        <v>1</v>
      </c>
      <c r="O190">
        <v>0</v>
      </c>
      <c r="P190" t="s">
        <v>91</v>
      </c>
      <c r="Q190">
        <v>1</v>
      </c>
      <c r="R190" t="s">
        <v>947</v>
      </c>
      <c r="S190" t="s">
        <v>139</v>
      </c>
      <c r="T190" t="s">
        <v>91</v>
      </c>
      <c r="U190" s="144"/>
    </row>
    <row r="191" spans="1:21">
      <c r="A191">
        <v>189</v>
      </c>
      <c r="B191" t="s">
        <v>784</v>
      </c>
      <c r="C191" t="s">
        <v>720</v>
      </c>
      <c r="D191" t="s">
        <v>1191</v>
      </c>
      <c r="E191" t="s">
        <v>467</v>
      </c>
      <c r="F191" t="s">
        <v>25</v>
      </c>
      <c r="G191" t="s">
        <v>787</v>
      </c>
      <c r="H191" t="s">
        <v>813</v>
      </c>
      <c r="I191">
        <v>1955</v>
      </c>
      <c r="J191" t="s">
        <v>789</v>
      </c>
      <c r="K191" t="s">
        <v>91</v>
      </c>
      <c r="M191" t="s">
        <v>139</v>
      </c>
      <c r="N191">
        <v>0</v>
      </c>
      <c r="O191">
        <v>0</v>
      </c>
      <c r="P191" t="s">
        <v>91</v>
      </c>
      <c r="Q191">
        <v>1</v>
      </c>
      <c r="R191" t="s">
        <v>947</v>
      </c>
      <c r="S191" t="s">
        <v>139</v>
      </c>
      <c r="T191" t="s">
        <v>91</v>
      </c>
      <c r="U191" s="144"/>
    </row>
    <row r="192" spans="1:21">
      <c r="A192">
        <v>190</v>
      </c>
      <c r="B192" t="s">
        <v>784</v>
      </c>
      <c r="C192" t="s">
        <v>723</v>
      </c>
      <c r="D192" t="s">
        <v>1194</v>
      </c>
      <c r="E192" t="s">
        <v>467</v>
      </c>
      <c r="F192" t="s">
        <v>25</v>
      </c>
      <c r="G192" t="s">
        <v>787</v>
      </c>
      <c r="H192" t="s">
        <v>822</v>
      </c>
      <c r="I192">
        <v>1926</v>
      </c>
      <c r="J192" t="s">
        <v>789</v>
      </c>
      <c r="K192" t="s">
        <v>91</v>
      </c>
      <c r="U192" s="144"/>
    </row>
    <row r="193" spans="1:21">
      <c r="A193">
        <v>191</v>
      </c>
      <c r="B193" t="s">
        <v>784</v>
      </c>
      <c r="C193" t="s">
        <v>730</v>
      </c>
      <c r="D193" t="s">
        <v>1203</v>
      </c>
      <c r="E193" t="s">
        <v>467</v>
      </c>
      <c r="F193" t="s">
        <v>25</v>
      </c>
      <c r="G193" t="s">
        <v>787</v>
      </c>
      <c r="H193" t="s">
        <v>819</v>
      </c>
      <c r="I193">
        <v>1968</v>
      </c>
      <c r="J193" t="s">
        <v>789</v>
      </c>
      <c r="K193" t="s">
        <v>91</v>
      </c>
      <c r="M193" t="s">
        <v>1204</v>
      </c>
      <c r="N193">
        <v>0</v>
      </c>
      <c r="O193">
        <v>0</v>
      </c>
      <c r="P193" t="s">
        <v>91</v>
      </c>
      <c r="Q193">
        <v>1</v>
      </c>
      <c r="R193" t="s">
        <v>947</v>
      </c>
      <c r="S193" t="s">
        <v>139</v>
      </c>
      <c r="T193" t="s">
        <v>91</v>
      </c>
      <c r="U193" s="144"/>
    </row>
    <row r="194" spans="1:21">
      <c r="A194">
        <v>192</v>
      </c>
      <c r="B194" t="s">
        <v>784</v>
      </c>
      <c r="C194" t="s">
        <v>734</v>
      </c>
      <c r="D194" t="s">
        <v>1208</v>
      </c>
      <c r="E194" t="s">
        <v>467</v>
      </c>
      <c r="F194" t="s">
        <v>25</v>
      </c>
      <c r="G194" t="s">
        <v>787</v>
      </c>
      <c r="H194" t="s">
        <v>824</v>
      </c>
      <c r="I194">
        <v>1950</v>
      </c>
      <c r="J194" t="s">
        <v>789</v>
      </c>
      <c r="K194" t="s">
        <v>91</v>
      </c>
      <c r="M194" t="s">
        <v>91</v>
      </c>
      <c r="N194">
        <v>1</v>
      </c>
      <c r="O194">
        <v>0</v>
      </c>
      <c r="P194" t="s">
        <v>91</v>
      </c>
      <c r="Q194">
        <v>1</v>
      </c>
      <c r="R194" t="s">
        <v>947</v>
      </c>
      <c r="S194" t="s">
        <v>139</v>
      </c>
      <c r="T194" t="s">
        <v>91</v>
      </c>
      <c r="U194" s="144"/>
    </row>
    <row r="195" spans="1:21">
      <c r="A195">
        <v>193</v>
      </c>
      <c r="B195" t="s">
        <v>784</v>
      </c>
      <c r="C195" t="s">
        <v>692</v>
      </c>
      <c r="D195" t="s">
        <v>1159</v>
      </c>
      <c r="E195" t="s">
        <v>467</v>
      </c>
      <c r="F195" t="s">
        <v>25</v>
      </c>
      <c r="G195" t="s">
        <v>786</v>
      </c>
      <c r="H195" t="s">
        <v>792</v>
      </c>
      <c r="I195">
        <v>2007</v>
      </c>
      <c r="J195" t="s">
        <v>139</v>
      </c>
      <c r="K195" t="s">
        <v>91</v>
      </c>
      <c r="M195" t="s">
        <v>1160</v>
      </c>
      <c r="N195">
        <v>1</v>
      </c>
      <c r="O195">
        <v>0</v>
      </c>
      <c r="P195" t="s">
        <v>139</v>
      </c>
      <c r="Q195">
        <v>0</v>
      </c>
      <c r="R195" t="s">
        <v>977</v>
      </c>
      <c r="S195" t="s">
        <v>91</v>
      </c>
      <c r="T195" t="s">
        <v>91</v>
      </c>
      <c r="U195" s="144"/>
    </row>
    <row r="196" spans="1:21">
      <c r="A196">
        <v>194</v>
      </c>
      <c r="B196" t="s">
        <v>784</v>
      </c>
      <c r="C196" t="s">
        <v>693</v>
      </c>
      <c r="D196" t="s">
        <v>1161</v>
      </c>
      <c r="E196" t="s">
        <v>467</v>
      </c>
      <c r="F196" t="s">
        <v>25</v>
      </c>
      <c r="G196" t="s">
        <v>786</v>
      </c>
      <c r="H196" t="s">
        <v>793</v>
      </c>
      <c r="I196">
        <v>1990</v>
      </c>
      <c r="J196" t="s">
        <v>139</v>
      </c>
      <c r="K196" t="s">
        <v>91</v>
      </c>
      <c r="M196" t="s">
        <v>1162</v>
      </c>
      <c r="N196">
        <v>0</v>
      </c>
      <c r="O196">
        <v>0</v>
      </c>
      <c r="P196" t="s">
        <v>91</v>
      </c>
      <c r="Q196">
        <v>1</v>
      </c>
      <c r="R196" t="s">
        <v>977</v>
      </c>
      <c r="S196" t="s">
        <v>91</v>
      </c>
      <c r="T196" t="s">
        <v>91</v>
      </c>
      <c r="U196" s="144"/>
    </row>
    <row r="197" spans="1:21">
      <c r="A197">
        <v>195</v>
      </c>
      <c r="B197" t="s">
        <v>784</v>
      </c>
      <c r="C197" t="s">
        <v>699</v>
      </c>
      <c r="D197" t="s">
        <v>1168</v>
      </c>
      <c r="E197" t="s">
        <v>467</v>
      </c>
      <c r="F197" t="s">
        <v>25</v>
      </c>
      <c r="G197" t="s">
        <v>786</v>
      </c>
      <c r="H197" t="s">
        <v>498</v>
      </c>
      <c r="I197">
        <v>1987</v>
      </c>
      <c r="J197" t="s">
        <v>789</v>
      </c>
      <c r="K197" t="s">
        <v>91</v>
      </c>
      <c r="M197" t="s">
        <v>139</v>
      </c>
      <c r="N197">
        <v>0</v>
      </c>
      <c r="O197">
        <v>0</v>
      </c>
      <c r="P197" t="s">
        <v>91</v>
      </c>
      <c r="Q197">
        <v>1</v>
      </c>
      <c r="R197" t="s">
        <v>947</v>
      </c>
      <c r="S197" t="s">
        <v>91</v>
      </c>
      <c r="T197" t="s">
        <v>91</v>
      </c>
      <c r="U197" s="144"/>
    </row>
    <row r="198" spans="1:21">
      <c r="A198">
        <v>196</v>
      </c>
      <c r="B198" t="s">
        <v>784</v>
      </c>
      <c r="C198" t="s">
        <v>712</v>
      </c>
      <c r="D198" t="s">
        <v>1183</v>
      </c>
      <c r="E198" t="s">
        <v>467</v>
      </c>
      <c r="F198" t="s">
        <v>25</v>
      </c>
      <c r="G198" t="s">
        <v>786</v>
      </c>
      <c r="H198" t="s">
        <v>806</v>
      </c>
      <c r="I198">
        <v>1956</v>
      </c>
      <c r="J198" t="s">
        <v>789</v>
      </c>
      <c r="K198" t="s">
        <v>91</v>
      </c>
      <c r="U198" s="144"/>
    </row>
    <row r="199" spans="1:21">
      <c r="A199">
        <v>197</v>
      </c>
      <c r="B199" t="s">
        <v>784</v>
      </c>
      <c r="C199" t="s">
        <v>713</v>
      </c>
      <c r="D199" t="s">
        <v>1184</v>
      </c>
      <c r="E199" t="s">
        <v>467</v>
      </c>
      <c r="F199" t="s">
        <v>25</v>
      </c>
      <c r="G199" t="s">
        <v>786</v>
      </c>
      <c r="H199" t="s">
        <v>807</v>
      </c>
      <c r="I199">
        <v>1950</v>
      </c>
      <c r="J199" t="s">
        <v>789</v>
      </c>
      <c r="K199" t="s">
        <v>91</v>
      </c>
      <c r="M199" t="s">
        <v>91</v>
      </c>
      <c r="N199">
        <v>1</v>
      </c>
      <c r="O199">
        <v>0</v>
      </c>
      <c r="P199" t="s">
        <v>91</v>
      </c>
      <c r="Q199">
        <v>1</v>
      </c>
      <c r="R199" t="s">
        <v>1042</v>
      </c>
      <c r="S199" t="s">
        <v>91</v>
      </c>
      <c r="T199">
        <v>0</v>
      </c>
      <c r="U199" s="144"/>
    </row>
    <row r="200" spans="1:21">
      <c r="A200">
        <v>198</v>
      </c>
      <c r="B200" t="s">
        <v>784</v>
      </c>
      <c r="C200" t="s">
        <v>717</v>
      </c>
      <c r="D200" t="s">
        <v>1188</v>
      </c>
      <c r="E200" t="s">
        <v>467</v>
      </c>
      <c r="F200" t="s">
        <v>25</v>
      </c>
      <c r="G200" t="s">
        <v>786</v>
      </c>
      <c r="H200" t="s">
        <v>810</v>
      </c>
      <c r="I200">
        <v>1952</v>
      </c>
      <c r="J200" t="s">
        <v>789</v>
      </c>
      <c r="K200" t="s">
        <v>91</v>
      </c>
      <c r="M200" t="s">
        <v>139</v>
      </c>
      <c r="N200">
        <v>0</v>
      </c>
      <c r="O200">
        <v>0</v>
      </c>
      <c r="P200" t="s">
        <v>91</v>
      </c>
      <c r="Q200">
        <v>1</v>
      </c>
      <c r="R200" t="s">
        <v>947</v>
      </c>
      <c r="S200" t="s">
        <v>91</v>
      </c>
      <c r="T200" t="s">
        <v>91</v>
      </c>
      <c r="U200" s="144"/>
    </row>
    <row r="201" spans="1:21">
      <c r="A201">
        <v>199</v>
      </c>
      <c r="B201" t="s">
        <v>784</v>
      </c>
      <c r="C201" t="s">
        <v>718</v>
      </c>
      <c r="D201" t="s">
        <v>1189</v>
      </c>
      <c r="E201" t="s">
        <v>467</v>
      </c>
      <c r="F201" t="s">
        <v>25</v>
      </c>
      <c r="G201" t="s">
        <v>786</v>
      </c>
      <c r="H201" t="s">
        <v>811</v>
      </c>
      <c r="I201">
        <v>1959</v>
      </c>
      <c r="J201" t="s">
        <v>789</v>
      </c>
      <c r="K201" t="s">
        <v>91</v>
      </c>
      <c r="M201" t="s">
        <v>91</v>
      </c>
      <c r="N201">
        <v>1</v>
      </c>
      <c r="O201">
        <v>0</v>
      </c>
      <c r="P201" t="s">
        <v>91</v>
      </c>
      <c r="Q201">
        <v>1</v>
      </c>
      <c r="R201" t="s">
        <v>947</v>
      </c>
      <c r="S201" t="s">
        <v>91</v>
      </c>
      <c r="T201" t="s">
        <v>91</v>
      </c>
      <c r="U201" s="144"/>
    </row>
    <row r="202" spans="1:21">
      <c r="A202">
        <v>200</v>
      </c>
      <c r="B202" t="s">
        <v>784</v>
      </c>
      <c r="C202" t="s">
        <v>722</v>
      </c>
      <c r="D202" t="s">
        <v>1193</v>
      </c>
      <c r="E202" t="s">
        <v>467</v>
      </c>
      <c r="F202" t="s">
        <v>25</v>
      </c>
      <c r="G202" t="s">
        <v>786</v>
      </c>
      <c r="H202" t="s">
        <v>55</v>
      </c>
      <c r="I202">
        <v>1972</v>
      </c>
      <c r="J202" t="s">
        <v>789</v>
      </c>
      <c r="K202" t="s">
        <v>91</v>
      </c>
      <c r="M202" t="s">
        <v>139</v>
      </c>
      <c r="N202">
        <v>0</v>
      </c>
      <c r="O202">
        <v>0</v>
      </c>
      <c r="P202" t="s">
        <v>91</v>
      </c>
      <c r="Q202">
        <v>1</v>
      </c>
      <c r="R202" t="s">
        <v>1046</v>
      </c>
      <c r="S202" t="s">
        <v>91</v>
      </c>
      <c r="T202" t="s">
        <v>139</v>
      </c>
      <c r="U202" s="144"/>
    </row>
    <row r="203" spans="1:21">
      <c r="A203">
        <v>201</v>
      </c>
      <c r="B203" t="s">
        <v>784</v>
      </c>
      <c r="C203" t="s">
        <v>726</v>
      </c>
      <c r="D203" t="s">
        <v>1198</v>
      </c>
      <c r="E203" t="s">
        <v>467</v>
      </c>
      <c r="F203" t="s">
        <v>25</v>
      </c>
      <c r="G203" t="s">
        <v>786</v>
      </c>
      <c r="H203" t="s">
        <v>56</v>
      </c>
      <c r="I203">
        <v>1904</v>
      </c>
      <c r="J203" t="s">
        <v>139</v>
      </c>
      <c r="K203" t="s">
        <v>91</v>
      </c>
      <c r="M203" t="s">
        <v>139</v>
      </c>
      <c r="N203">
        <v>0</v>
      </c>
      <c r="O203">
        <v>0</v>
      </c>
      <c r="P203" t="s">
        <v>91</v>
      </c>
      <c r="Q203">
        <v>1</v>
      </c>
      <c r="R203" t="s">
        <v>947</v>
      </c>
      <c r="S203" t="s">
        <v>91</v>
      </c>
      <c r="T203">
        <v>0</v>
      </c>
      <c r="U203" s="144"/>
    </row>
    <row r="204" spans="1:21">
      <c r="A204">
        <v>202</v>
      </c>
      <c r="B204" t="s">
        <v>784</v>
      </c>
      <c r="C204" t="s">
        <v>736</v>
      </c>
      <c r="D204" t="s">
        <v>1210</v>
      </c>
      <c r="E204" t="s">
        <v>468</v>
      </c>
      <c r="F204" t="s">
        <v>25</v>
      </c>
      <c r="G204" t="s">
        <v>785</v>
      </c>
      <c r="H204" t="s">
        <v>25</v>
      </c>
      <c r="I204">
        <v>1378</v>
      </c>
      <c r="J204" t="s">
        <v>139</v>
      </c>
      <c r="K204" t="s">
        <v>139</v>
      </c>
      <c r="M204" t="s">
        <v>91</v>
      </c>
      <c r="N204">
        <v>1</v>
      </c>
      <c r="O204">
        <v>0</v>
      </c>
      <c r="P204" t="s">
        <v>139</v>
      </c>
      <c r="Q204">
        <v>0</v>
      </c>
      <c r="R204" t="s">
        <v>947</v>
      </c>
      <c r="S204" t="s">
        <v>91</v>
      </c>
      <c r="T204">
        <v>0</v>
      </c>
      <c r="U204" s="144"/>
    </row>
    <row r="205" spans="1:21">
      <c r="A205">
        <v>203</v>
      </c>
      <c r="B205" t="s">
        <v>784</v>
      </c>
      <c r="C205" t="s">
        <v>737</v>
      </c>
      <c r="D205" t="s">
        <v>1211</v>
      </c>
      <c r="E205" t="s">
        <v>468</v>
      </c>
      <c r="F205" t="s">
        <v>25</v>
      </c>
      <c r="G205" t="s">
        <v>785</v>
      </c>
      <c r="H205" t="s">
        <v>25</v>
      </c>
      <c r="I205">
        <v>1994</v>
      </c>
      <c r="J205" t="s">
        <v>789</v>
      </c>
      <c r="K205" t="s">
        <v>91</v>
      </c>
      <c r="M205" t="s">
        <v>139</v>
      </c>
      <c r="N205">
        <v>0</v>
      </c>
      <c r="O205">
        <v>0</v>
      </c>
      <c r="P205" t="s">
        <v>91</v>
      </c>
      <c r="Q205">
        <v>1</v>
      </c>
      <c r="R205" t="s">
        <v>1212</v>
      </c>
      <c r="S205" t="s">
        <v>91</v>
      </c>
      <c r="T205" t="s">
        <v>91</v>
      </c>
      <c r="U205" s="144"/>
    </row>
    <row r="206" spans="1:21">
      <c r="A206">
        <v>204</v>
      </c>
      <c r="B206" t="s">
        <v>784</v>
      </c>
      <c r="C206" t="s">
        <v>738</v>
      </c>
      <c r="D206" t="s">
        <v>1213</v>
      </c>
      <c r="E206" t="s">
        <v>468</v>
      </c>
      <c r="F206" t="s">
        <v>25</v>
      </c>
      <c r="G206" t="s">
        <v>785</v>
      </c>
      <c r="H206" t="s">
        <v>25</v>
      </c>
      <c r="I206">
        <v>2003</v>
      </c>
      <c r="J206" t="s">
        <v>139</v>
      </c>
      <c r="K206" t="s">
        <v>91</v>
      </c>
      <c r="M206" t="s">
        <v>139</v>
      </c>
      <c r="N206">
        <v>0</v>
      </c>
      <c r="O206">
        <v>0</v>
      </c>
      <c r="P206" t="s">
        <v>91</v>
      </c>
      <c r="Q206">
        <v>1</v>
      </c>
      <c r="R206" t="s">
        <v>947</v>
      </c>
      <c r="S206" t="s">
        <v>91</v>
      </c>
      <c r="T206" t="s">
        <v>91</v>
      </c>
      <c r="U206" s="144"/>
    </row>
    <row r="207" spans="1:21">
      <c r="A207">
        <v>205</v>
      </c>
      <c r="B207" t="s">
        <v>784</v>
      </c>
      <c r="C207" t="s">
        <v>739</v>
      </c>
      <c r="D207" t="s">
        <v>1214</v>
      </c>
      <c r="E207" t="s">
        <v>468</v>
      </c>
      <c r="F207" t="s">
        <v>25</v>
      </c>
      <c r="G207" t="s">
        <v>785</v>
      </c>
      <c r="H207" t="s">
        <v>25</v>
      </c>
      <c r="I207">
        <v>1960</v>
      </c>
      <c r="J207" t="s">
        <v>139</v>
      </c>
      <c r="K207" t="s">
        <v>139</v>
      </c>
      <c r="M207" t="s">
        <v>91</v>
      </c>
      <c r="N207">
        <v>1</v>
      </c>
      <c r="O207">
        <v>0</v>
      </c>
      <c r="P207" t="s">
        <v>91</v>
      </c>
      <c r="Q207">
        <v>1</v>
      </c>
      <c r="R207" t="s">
        <v>947</v>
      </c>
      <c r="S207" t="s">
        <v>91</v>
      </c>
      <c r="T207" t="s">
        <v>91</v>
      </c>
      <c r="U207" s="144"/>
    </row>
    <row r="208" spans="1:21">
      <c r="A208">
        <v>206</v>
      </c>
      <c r="B208" t="s">
        <v>784</v>
      </c>
      <c r="C208" t="s">
        <v>740</v>
      </c>
      <c r="D208" t="s">
        <v>1215</v>
      </c>
      <c r="E208" t="s">
        <v>468</v>
      </c>
      <c r="F208" t="s">
        <v>25</v>
      </c>
      <c r="G208" t="s">
        <v>785</v>
      </c>
      <c r="H208" t="s">
        <v>795</v>
      </c>
      <c r="I208">
        <v>1972</v>
      </c>
      <c r="J208" t="s">
        <v>789</v>
      </c>
      <c r="K208" t="s">
        <v>91</v>
      </c>
      <c r="M208" t="s">
        <v>139</v>
      </c>
      <c r="N208">
        <v>0</v>
      </c>
      <c r="O208">
        <v>0</v>
      </c>
      <c r="P208" t="s">
        <v>91</v>
      </c>
      <c r="Q208">
        <v>1</v>
      </c>
      <c r="R208" t="s">
        <v>947</v>
      </c>
      <c r="S208" t="s">
        <v>91</v>
      </c>
      <c r="T208" t="s">
        <v>91</v>
      </c>
      <c r="U208" s="144"/>
    </row>
    <row r="209" spans="1:21">
      <c r="A209">
        <v>207</v>
      </c>
      <c r="B209" t="s">
        <v>784</v>
      </c>
      <c r="C209" t="s">
        <v>741</v>
      </c>
      <c r="D209" t="s">
        <v>1216</v>
      </c>
      <c r="E209" t="s">
        <v>468</v>
      </c>
      <c r="F209" t="s">
        <v>25</v>
      </c>
      <c r="G209" t="s">
        <v>785</v>
      </c>
      <c r="H209" t="s">
        <v>25</v>
      </c>
      <c r="I209">
        <v>1983</v>
      </c>
      <c r="J209" t="s">
        <v>139</v>
      </c>
      <c r="K209" t="s">
        <v>91</v>
      </c>
      <c r="M209" t="s">
        <v>139</v>
      </c>
      <c r="N209">
        <v>0</v>
      </c>
      <c r="O209">
        <v>0</v>
      </c>
      <c r="P209" t="s">
        <v>91</v>
      </c>
      <c r="Q209">
        <v>1</v>
      </c>
      <c r="R209" t="s">
        <v>951</v>
      </c>
      <c r="S209" t="s">
        <v>91</v>
      </c>
      <c r="T209" t="s">
        <v>91</v>
      </c>
      <c r="U209" s="144"/>
    </row>
    <row r="210" spans="1:21">
      <c r="A210">
        <v>208</v>
      </c>
      <c r="B210" t="s">
        <v>784</v>
      </c>
      <c r="C210" t="s">
        <v>742</v>
      </c>
      <c r="D210" t="s">
        <v>1217</v>
      </c>
      <c r="E210" t="s">
        <v>468</v>
      </c>
      <c r="F210" t="s">
        <v>25</v>
      </c>
      <c r="G210" t="s">
        <v>785</v>
      </c>
      <c r="H210" t="s">
        <v>25</v>
      </c>
      <c r="I210">
        <v>2014</v>
      </c>
      <c r="J210" t="s">
        <v>139</v>
      </c>
      <c r="K210" t="s">
        <v>91</v>
      </c>
      <c r="M210" t="s">
        <v>139</v>
      </c>
      <c r="N210">
        <v>0</v>
      </c>
      <c r="O210">
        <v>0</v>
      </c>
      <c r="P210" t="s">
        <v>139</v>
      </c>
      <c r="Q210">
        <v>0</v>
      </c>
      <c r="R210" t="s">
        <v>947</v>
      </c>
      <c r="S210" t="s">
        <v>91</v>
      </c>
      <c r="T210" t="s">
        <v>91</v>
      </c>
      <c r="U210" s="144"/>
    </row>
    <row r="211" spans="1:21">
      <c r="A211">
        <v>209</v>
      </c>
      <c r="B211" t="s">
        <v>784</v>
      </c>
      <c r="C211" t="s">
        <v>743</v>
      </c>
      <c r="D211" t="s">
        <v>1218</v>
      </c>
      <c r="E211" t="s">
        <v>468</v>
      </c>
      <c r="F211" t="s">
        <v>25</v>
      </c>
      <c r="G211" t="s">
        <v>785</v>
      </c>
      <c r="H211" t="s">
        <v>25</v>
      </c>
      <c r="I211">
        <v>2002</v>
      </c>
      <c r="J211" t="s">
        <v>139</v>
      </c>
      <c r="K211" t="s">
        <v>91</v>
      </c>
      <c r="M211" t="s">
        <v>139</v>
      </c>
      <c r="N211">
        <v>0</v>
      </c>
      <c r="O211">
        <v>0</v>
      </c>
      <c r="P211" t="s">
        <v>91</v>
      </c>
      <c r="Q211">
        <v>1</v>
      </c>
      <c r="R211" t="s">
        <v>1219</v>
      </c>
      <c r="S211" t="s">
        <v>91</v>
      </c>
      <c r="T211" t="s">
        <v>139</v>
      </c>
      <c r="U211" s="144"/>
    </row>
    <row r="212" spans="1:21">
      <c r="A212">
        <v>210</v>
      </c>
      <c r="B212" t="s">
        <v>784</v>
      </c>
      <c r="C212" t="s">
        <v>744</v>
      </c>
      <c r="D212" t="s">
        <v>1220</v>
      </c>
      <c r="E212" t="s">
        <v>468</v>
      </c>
      <c r="F212" t="s">
        <v>25</v>
      </c>
      <c r="G212" t="s">
        <v>785</v>
      </c>
      <c r="H212" t="s">
        <v>25</v>
      </c>
      <c r="I212">
        <v>1993</v>
      </c>
      <c r="J212" t="s">
        <v>139</v>
      </c>
      <c r="K212" t="s">
        <v>91</v>
      </c>
      <c r="M212" t="s">
        <v>139</v>
      </c>
      <c r="N212">
        <v>0</v>
      </c>
      <c r="O212">
        <v>0</v>
      </c>
      <c r="P212" t="s">
        <v>91</v>
      </c>
      <c r="Q212">
        <v>1</v>
      </c>
      <c r="R212" t="s">
        <v>947</v>
      </c>
      <c r="S212" t="s">
        <v>91</v>
      </c>
      <c r="T212" t="s">
        <v>91</v>
      </c>
      <c r="U212" s="144"/>
    </row>
    <row r="213" spans="1:21">
      <c r="A213">
        <v>211</v>
      </c>
      <c r="B213" t="s">
        <v>784</v>
      </c>
      <c r="C213" t="s">
        <v>745</v>
      </c>
      <c r="D213" t="s">
        <v>1221</v>
      </c>
      <c r="E213" t="s">
        <v>468</v>
      </c>
      <c r="F213" t="s">
        <v>25</v>
      </c>
      <c r="G213" t="s">
        <v>785</v>
      </c>
      <c r="H213" t="s">
        <v>25</v>
      </c>
      <c r="I213">
        <v>2005</v>
      </c>
      <c r="J213" t="s">
        <v>139</v>
      </c>
      <c r="K213" t="s">
        <v>139</v>
      </c>
      <c r="M213" t="s">
        <v>91</v>
      </c>
      <c r="N213">
        <v>1</v>
      </c>
      <c r="O213">
        <v>0</v>
      </c>
      <c r="P213" t="s">
        <v>91</v>
      </c>
      <c r="Q213">
        <v>1</v>
      </c>
      <c r="R213" t="s">
        <v>947</v>
      </c>
      <c r="S213" t="s">
        <v>91</v>
      </c>
      <c r="T213">
        <v>0</v>
      </c>
      <c r="U213" s="144"/>
    </row>
    <row r="214" spans="1:21">
      <c r="A214">
        <v>212</v>
      </c>
      <c r="B214" t="s">
        <v>784</v>
      </c>
      <c r="C214" t="s">
        <v>746</v>
      </c>
      <c r="D214" t="s">
        <v>1222</v>
      </c>
      <c r="E214" t="s">
        <v>468</v>
      </c>
      <c r="F214" t="s">
        <v>25</v>
      </c>
      <c r="G214" t="s">
        <v>785</v>
      </c>
      <c r="H214" t="s">
        <v>25</v>
      </c>
      <c r="I214">
        <v>1953</v>
      </c>
      <c r="J214" t="s">
        <v>790</v>
      </c>
      <c r="K214" t="s">
        <v>139</v>
      </c>
      <c r="U214" s="144"/>
    </row>
    <row r="215" spans="1:21">
      <c r="A215">
        <v>213</v>
      </c>
      <c r="B215" t="s">
        <v>784</v>
      </c>
      <c r="C215" t="s">
        <v>747</v>
      </c>
      <c r="D215" t="s">
        <v>1223</v>
      </c>
      <c r="E215" t="s">
        <v>468</v>
      </c>
      <c r="F215" t="s">
        <v>25</v>
      </c>
      <c r="G215" t="s">
        <v>785</v>
      </c>
      <c r="H215" t="s">
        <v>25</v>
      </c>
      <c r="I215">
        <v>2003</v>
      </c>
      <c r="J215" t="s">
        <v>789</v>
      </c>
      <c r="K215" t="s">
        <v>91</v>
      </c>
      <c r="M215" t="s">
        <v>139</v>
      </c>
      <c r="N215">
        <v>0</v>
      </c>
      <c r="O215">
        <v>0</v>
      </c>
      <c r="P215" t="s">
        <v>139</v>
      </c>
      <c r="Q215">
        <v>0</v>
      </c>
      <c r="R215" t="s">
        <v>947</v>
      </c>
      <c r="S215" t="s">
        <v>91</v>
      </c>
      <c r="T215" t="s">
        <v>139</v>
      </c>
      <c r="U215" s="144"/>
    </row>
    <row r="216" spans="1:21">
      <c r="A216">
        <v>214</v>
      </c>
      <c r="B216" t="s">
        <v>784</v>
      </c>
      <c r="C216" t="s">
        <v>748</v>
      </c>
      <c r="D216" t="s">
        <v>1224</v>
      </c>
      <c r="E216" t="s">
        <v>468</v>
      </c>
      <c r="F216" t="s">
        <v>25</v>
      </c>
      <c r="G216" t="s">
        <v>785</v>
      </c>
      <c r="H216" t="s">
        <v>25</v>
      </c>
      <c r="J216" t="s">
        <v>789</v>
      </c>
      <c r="K216" t="s">
        <v>91</v>
      </c>
      <c r="M216" t="s">
        <v>91</v>
      </c>
      <c r="N216">
        <v>1</v>
      </c>
      <c r="O216">
        <v>0</v>
      </c>
      <c r="P216" t="s">
        <v>91</v>
      </c>
      <c r="Q216">
        <v>1</v>
      </c>
      <c r="R216" t="s">
        <v>951</v>
      </c>
      <c r="S216" t="s">
        <v>91</v>
      </c>
      <c r="T216">
        <v>0</v>
      </c>
      <c r="U216" s="144"/>
    </row>
    <row r="217" spans="1:21">
      <c r="A217">
        <v>215</v>
      </c>
      <c r="B217" t="s">
        <v>784</v>
      </c>
      <c r="C217" t="s">
        <v>749</v>
      </c>
      <c r="D217" t="s">
        <v>1225</v>
      </c>
      <c r="E217" t="s">
        <v>468</v>
      </c>
      <c r="F217" t="s">
        <v>25</v>
      </c>
      <c r="G217" t="s">
        <v>785</v>
      </c>
      <c r="H217" t="s">
        <v>25</v>
      </c>
      <c r="J217" t="s">
        <v>139</v>
      </c>
      <c r="K217" t="s">
        <v>91</v>
      </c>
      <c r="U217" s="144"/>
    </row>
    <row r="218" spans="1:21">
      <c r="A218">
        <v>216</v>
      </c>
      <c r="B218" t="s">
        <v>784</v>
      </c>
      <c r="C218" t="s">
        <v>752</v>
      </c>
      <c r="D218" t="s">
        <v>1228</v>
      </c>
      <c r="E218" t="s">
        <v>468</v>
      </c>
      <c r="F218" t="s">
        <v>25</v>
      </c>
      <c r="G218" t="s">
        <v>785</v>
      </c>
      <c r="H218" t="s">
        <v>791</v>
      </c>
      <c r="I218">
        <v>1998</v>
      </c>
      <c r="J218" t="s">
        <v>139</v>
      </c>
      <c r="K218" t="s">
        <v>91</v>
      </c>
      <c r="M218" t="s">
        <v>91</v>
      </c>
      <c r="N218">
        <v>1</v>
      </c>
      <c r="O218">
        <v>0</v>
      </c>
      <c r="P218" t="s">
        <v>91</v>
      </c>
      <c r="Q218">
        <v>1</v>
      </c>
      <c r="R218" t="s">
        <v>947</v>
      </c>
      <c r="S218" t="s">
        <v>91</v>
      </c>
      <c r="T218" t="s">
        <v>91</v>
      </c>
      <c r="U218" s="144"/>
    </row>
    <row r="219" spans="1:21">
      <c r="A219">
        <v>217</v>
      </c>
      <c r="B219" t="s">
        <v>784</v>
      </c>
      <c r="C219" t="s">
        <v>754</v>
      </c>
      <c r="D219" t="s">
        <v>1231</v>
      </c>
      <c r="E219" t="s">
        <v>468</v>
      </c>
      <c r="F219" t="s">
        <v>25</v>
      </c>
      <c r="G219" t="s">
        <v>785</v>
      </c>
      <c r="H219" t="s">
        <v>797</v>
      </c>
      <c r="I219">
        <v>1950</v>
      </c>
      <c r="J219" t="s">
        <v>789</v>
      </c>
      <c r="K219" t="s">
        <v>91</v>
      </c>
      <c r="M219" t="s">
        <v>91</v>
      </c>
      <c r="N219">
        <v>1</v>
      </c>
      <c r="O219">
        <v>0</v>
      </c>
      <c r="P219" t="s">
        <v>91</v>
      </c>
      <c r="Q219">
        <v>1</v>
      </c>
      <c r="R219" t="s">
        <v>947</v>
      </c>
      <c r="S219" t="s">
        <v>1232</v>
      </c>
      <c r="T219" t="s">
        <v>91</v>
      </c>
      <c r="U219" s="144"/>
    </row>
    <row r="220" spans="1:21">
      <c r="A220">
        <v>218</v>
      </c>
      <c r="B220" t="s">
        <v>784</v>
      </c>
      <c r="C220" t="s">
        <v>756</v>
      </c>
      <c r="D220" t="s">
        <v>1235</v>
      </c>
      <c r="E220" t="s">
        <v>468</v>
      </c>
      <c r="F220" t="s">
        <v>25</v>
      </c>
      <c r="G220" t="s">
        <v>785</v>
      </c>
      <c r="H220" t="s">
        <v>52</v>
      </c>
      <c r="I220">
        <v>1997</v>
      </c>
      <c r="J220" t="s">
        <v>139</v>
      </c>
      <c r="K220" t="s">
        <v>91</v>
      </c>
      <c r="M220" t="s">
        <v>91</v>
      </c>
      <c r="N220">
        <v>1</v>
      </c>
      <c r="O220">
        <v>0</v>
      </c>
      <c r="P220" t="s">
        <v>91</v>
      </c>
      <c r="Q220">
        <v>1</v>
      </c>
      <c r="R220" t="s">
        <v>947</v>
      </c>
      <c r="S220" t="s">
        <v>91</v>
      </c>
      <c r="T220" t="s">
        <v>139</v>
      </c>
      <c r="U220" s="144"/>
    </row>
    <row r="221" spans="1:21">
      <c r="A221">
        <v>219</v>
      </c>
      <c r="B221" t="s">
        <v>784</v>
      </c>
      <c r="C221" t="s">
        <v>758</v>
      </c>
      <c r="D221" t="s">
        <v>1237</v>
      </c>
      <c r="E221" t="s">
        <v>468</v>
      </c>
      <c r="F221" t="s">
        <v>25</v>
      </c>
      <c r="G221" t="s">
        <v>785</v>
      </c>
      <c r="H221" t="s">
        <v>799</v>
      </c>
      <c r="I221">
        <v>1980</v>
      </c>
      <c r="J221" t="s">
        <v>139</v>
      </c>
      <c r="K221" t="s">
        <v>91</v>
      </c>
      <c r="M221" t="s">
        <v>91</v>
      </c>
      <c r="N221">
        <v>1</v>
      </c>
      <c r="O221">
        <v>0</v>
      </c>
      <c r="P221" t="s">
        <v>91</v>
      </c>
      <c r="Q221">
        <v>1</v>
      </c>
      <c r="R221" t="s">
        <v>977</v>
      </c>
      <c r="S221" t="s">
        <v>1238</v>
      </c>
      <c r="T221" t="s">
        <v>91</v>
      </c>
      <c r="U221" s="144"/>
    </row>
    <row r="222" spans="1:21">
      <c r="A222">
        <v>220</v>
      </c>
      <c r="B222" t="s">
        <v>784</v>
      </c>
      <c r="C222" t="s">
        <v>759</v>
      </c>
      <c r="D222" t="s">
        <v>1239</v>
      </c>
      <c r="E222" t="s">
        <v>468</v>
      </c>
      <c r="F222" t="s">
        <v>25</v>
      </c>
      <c r="G222" t="s">
        <v>785</v>
      </c>
      <c r="H222" t="s">
        <v>800</v>
      </c>
      <c r="I222">
        <v>1995</v>
      </c>
      <c r="J222" t="s">
        <v>789</v>
      </c>
      <c r="K222" t="s">
        <v>139</v>
      </c>
      <c r="M222" t="s">
        <v>91</v>
      </c>
      <c r="N222">
        <v>1</v>
      </c>
      <c r="O222">
        <v>0</v>
      </c>
      <c r="P222" t="s">
        <v>91</v>
      </c>
      <c r="Q222">
        <v>1</v>
      </c>
      <c r="R222" t="s">
        <v>947</v>
      </c>
      <c r="S222" t="s">
        <v>91</v>
      </c>
      <c r="T222" t="s">
        <v>91</v>
      </c>
      <c r="U222" s="144"/>
    </row>
    <row r="223" spans="1:21">
      <c r="A223">
        <v>221</v>
      </c>
      <c r="B223" t="s">
        <v>784</v>
      </c>
      <c r="C223" t="s">
        <v>760</v>
      </c>
      <c r="D223" t="s">
        <v>1240</v>
      </c>
      <c r="E223" t="s">
        <v>468</v>
      </c>
      <c r="F223" t="s">
        <v>25</v>
      </c>
      <c r="G223" t="s">
        <v>785</v>
      </c>
      <c r="H223" t="s">
        <v>236</v>
      </c>
      <c r="I223">
        <v>1997</v>
      </c>
      <c r="J223" t="s">
        <v>139</v>
      </c>
      <c r="K223" t="s">
        <v>91</v>
      </c>
      <c r="M223" t="s">
        <v>139</v>
      </c>
      <c r="N223">
        <v>0</v>
      </c>
      <c r="O223">
        <v>0</v>
      </c>
      <c r="P223" t="s">
        <v>91</v>
      </c>
      <c r="Q223">
        <v>1</v>
      </c>
      <c r="R223" t="s">
        <v>947</v>
      </c>
      <c r="S223" t="s">
        <v>91</v>
      </c>
      <c r="T223" t="s">
        <v>91</v>
      </c>
      <c r="U223" s="144"/>
    </row>
    <row r="224" spans="1:21">
      <c r="A224">
        <v>222</v>
      </c>
      <c r="B224" t="s">
        <v>784</v>
      </c>
      <c r="C224" t="s">
        <v>761</v>
      </c>
      <c r="D224" t="s">
        <v>1241</v>
      </c>
      <c r="E224" t="s">
        <v>468</v>
      </c>
      <c r="F224" t="s">
        <v>25</v>
      </c>
      <c r="G224" t="s">
        <v>785</v>
      </c>
      <c r="H224" t="s">
        <v>801</v>
      </c>
      <c r="I224">
        <v>1958</v>
      </c>
      <c r="J224" t="s">
        <v>789</v>
      </c>
      <c r="K224" t="s">
        <v>91</v>
      </c>
      <c r="M224" t="s">
        <v>91</v>
      </c>
      <c r="N224">
        <v>1</v>
      </c>
      <c r="O224">
        <v>0</v>
      </c>
      <c r="P224" t="s">
        <v>91</v>
      </c>
      <c r="Q224">
        <v>1</v>
      </c>
      <c r="R224" t="s">
        <v>951</v>
      </c>
      <c r="S224" t="s">
        <v>91</v>
      </c>
      <c r="T224" t="s">
        <v>91</v>
      </c>
      <c r="U224" s="144"/>
    </row>
    <row r="225" spans="1:21">
      <c r="A225">
        <v>223</v>
      </c>
      <c r="B225" t="s">
        <v>784</v>
      </c>
      <c r="C225" t="s">
        <v>762</v>
      </c>
      <c r="D225" t="s">
        <v>1242</v>
      </c>
      <c r="E225" t="s">
        <v>468</v>
      </c>
      <c r="F225" t="s">
        <v>25</v>
      </c>
      <c r="G225" t="s">
        <v>785</v>
      </c>
      <c r="H225" t="s">
        <v>802</v>
      </c>
      <c r="J225" t="s">
        <v>789</v>
      </c>
      <c r="K225" t="s">
        <v>91</v>
      </c>
      <c r="M225" t="s">
        <v>139</v>
      </c>
      <c r="N225">
        <v>0</v>
      </c>
      <c r="O225">
        <v>0</v>
      </c>
      <c r="P225" t="s">
        <v>91</v>
      </c>
      <c r="Q225">
        <v>1</v>
      </c>
      <c r="R225" t="s">
        <v>977</v>
      </c>
      <c r="S225" t="s">
        <v>91</v>
      </c>
      <c r="T225" t="s">
        <v>91</v>
      </c>
      <c r="U225" s="144"/>
    </row>
    <row r="226" spans="1:21">
      <c r="A226">
        <v>224</v>
      </c>
      <c r="B226" t="s">
        <v>784</v>
      </c>
      <c r="C226" t="s">
        <v>763</v>
      </c>
      <c r="D226" t="s">
        <v>1243</v>
      </c>
      <c r="E226" t="s">
        <v>468</v>
      </c>
      <c r="F226" t="s">
        <v>25</v>
      </c>
      <c r="G226" t="s">
        <v>785</v>
      </c>
      <c r="H226" t="s">
        <v>803</v>
      </c>
      <c r="I226">
        <v>1996</v>
      </c>
      <c r="J226" t="s">
        <v>139</v>
      </c>
      <c r="K226" t="s">
        <v>139</v>
      </c>
      <c r="M226" t="s">
        <v>139</v>
      </c>
      <c r="N226">
        <v>0</v>
      </c>
      <c r="O226">
        <v>0</v>
      </c>
      <c r="P226" t="s">
        <v>91</v>
      </c>
      <c r="Q226">
        <v>1</v>
      </c>
      <c r="R226" t="s">
        <v>951</v>
      </c>
      <c r="S226" t="s">
        <v>91</v>
      </c>
      <c r="T226" t="s">
        <v>91</v>
      </c>
      <c r="U226" s="144"/>
    </row>
    <row r="227" spans="1:21">
      <c r="A227">
        <v>225</v>
      </c>
      <c r="B227" t="s">
        <v>784</v>
      </c>
      <c r="C227" t="s">
        <v>764</v>
      </c>
      <c r="D227" t="s">
        <v>1244</v>
      </c>
      <c r="E227" t="s">
        <v>468</v>
      </c>
      <c r="F227" t="s">
        <v>25</v>
      </c>
      <c r="G227" t="s">
        <v>785</v>
      </c>
      <c r="H227" t="s">
        <v>804</v>
      </c>
      <c r="I227">
        <v>1990</v>
      </c>
      <c r="J227" t="s">
        <v>789</v>
      </c>
      <c r="K227" t="s">
        <v>91</v>
      </c>
      <c r="U227" s="144"/>
    </row>
    <row r="228" spans="1:21">
      <c r="A228">
        <v>226</v>
      </c>
      <c r="B228" t="s">
        <v>784</v>
      </c>
      <c r="C228" t="s">
        <v>767</v>
      </c>
      <c r="D228" t="s">
        <v>1248</v>
      </c>
      <c r="E228" t="s">
        <v>468</v>
      </c>
      <c r="F228" t="s">
        <v>25</v>
      </c>
      <c r="G228" t="s">
        <v>785</v>
      </c>
      <c r="H228" t="s">
        <v>827</v>
      </c>
      <c r="J228" t="s">
        <v>789</v>
      </c>
      <c r="K228" t="s">
        <v>91</v>
      </c>
      <c r="M228" t="s">
        <v>91</v>
      </c>
      <c r="N228">
        <v>1</v>
      </c>
      <c r="O228">
        <v>0</v>
      </c>
      <c r="P228" t="s">
        <v>91</v>
      </c>
      <c r="Q228">
        <v>1</v>
      </c>
      <c r="R228" t="s">
        <v>947</v>
      </c>
      <c r="S228" t="s">
        <v>139</v>
      </c>
      <c r="T228" t="s">
        <v>139</v>
      </c>
      <c r="U228" s="144"/>
    </row>
    <row r="229" spans="1:21">
      <c r="A229">
        <v>227</v>
      </c>
      <c r="B229" t="s">
        <v>784</v>
      </c>
      <c r="C229" t="s">
        <v>769</v>
      </c>
      <c r="D229" t="s">
        <v>1250</v>
      </c>
      <c r="E229" t="s">
        <v>468</v>
      </c>
      <c r="F229" t="s">
        <v>25</v>
      </c>
      <c r="G229" t="s">
        <v>785</v>
      </c>
      <c r="H229" t="s">
        <v>809</v>
      </c>
      <c r="I229">
        <v>1983</v>
      </c>
      <c r="J229" t="s">
        <v>91</v>
      </c>
      <c r="K229" t="s">
        <v>91</v>
      </c>
      <c r="M229" t="s">
        <v>139</v>
      </c>
      <c r="N229">
        <v>0</v>
      </c>
      <c r="O229">
        <v>0</v>
      </c>
      <c r="P229" t="s">
        <v>91</v>
      </c>
      <c r="Q229">
        <v>1</v>
      </c>
      <c r="R229" t="s">
        <v>1251</v>
      </c>
      <c r="S229" t="s">
        <v>91</v>
      </c>
      <c r="T229" t="s">
        <v>91</v>
      </c>
      <c r="U229" s="144"/>
    </row>
    <row r="230" spans="1:21">
      <c r="A230">
        <v>228</v>
      </c>
      <c r="B230" t="s">
        <v>784</v>
      </c>
      <c r="C230" t="s">
        <v>777</v>
      </c>
      <c r="D230" t="s">
        <v>1260</v>
      </c>
      <c r="E230" t="s">
        <v>468</v>
      </c>
      <c r="F230" t="s">
        <v>25</v>
      </c>
      <c r="G230" t="s">
        <v>785</v>
      </c>
      <c r="H230" t="s">
        <v>818</v>
      </c>
      <c r="J230" t="s">
        <v>789</v>
      </c>
      <c r="K230" t="s">
        <v>91</v>
      </c>
      <c r="M230" t="s">
        <v>139</v>
      </c>
      <c r="N230">
        <v>0</v>
      </c>
      <c r="O230">
        <v>0</v>
      </c>
      <c r="P230" t="s">
        <v>91</v>
      </c>
      <c r="Q230">
        <v>1</v>
      </c>
      <c r="R230" t="s">
        <v>947</v>
      </c>
      <c r="S230" t="s">
        <v>91</v>
      </c>
      <c r="T230" t="s">
        <v>91</v>
      </c>
      <c r="U230" s="144"/>
    </row>
    <row r="231" spans="1:21">
      <c r="A231">
        <v>229</v>
      </c>
      <c r="B231" t="s">
        <v>784</v>
      </c>
      <c r="C231" t="s">
        <v>779</v>
      </c>
      <c r="D231" t="s">
        <v>1263</v>
      </c>
      <c r="E231" t="s">
        <v>468</v>
      </c>
      <c r="F231" t="s">
        <v>25</v>
      </c>
      <c r="G231" t="s">
        <v>785</v>
      </c>
      <c r="H231" t="s">
        <v>820</v>
      </c>
      <c r="J231" t="s">
        <v>789</v>
      </c>
      <c r="K231" t="s">
        <v>91</v>
      </c>
      <c r="M231" t="s">
        <v>139</v>
      </c>
      <c r="N231">
        <v>0</v>
      </c>
      <c r="O231">
        <v>0</v>
      </c>
      <c r="P231" t="s">
        <v>91</v>
      </c>
      <c r="Q231">
        <v>1</v>
      </c>
      <c r="R231" t="s">
        <v>947</v>
      </c>
      <c r="S231" t="s">
        <v>91</v>
      </c>
      <c r="T231" t="s">
        <v>91</v>
      </c>
      <c r="U231" s="144"/>
    </row>
    <row r="232" spans="1:21">
      <c r="A232">
        <v>230</v>
      </c>
      <c r="B232" t="s">
        <v>784</v>
      </c>
      <c r="C232" t="s">
        <v>780</v>
      </c>
      <c r="D232" t="s">
        <v>1264</v>
      </c>
      <c r="E232" t="s">
        <v>468</v>
      </c>
      <c r="F232" t="s">
        <v>25</v>
      </c>
      <c r="G232" t="s">
        <v>785</v>
      </c>
      <c r="H232" t="s">
        <v>821</v>
      </c>
      <c r="I232">
        <v>1929</v>
      </c>
      <c r="J232" t="s">
        <v>789</v>
      </c>
      <c r="K232" t="s">
        <v>91</v>
      </c>
      <c r="U232" s="144"/>
    </row>
    <row r="233" spans="1:21">
      <c r="A233">
        <v>231</v>
      </c>
      <c r="B233" t="s">
        <v>784</v>
      </c>
      <c r="C233" t="s">
        <v>782</v>
      </c>
      <c r="D233" t="s">
        <v>1266</v>
      </c>
      <c r="E233" t="s">
        <v>468</v>
      </c>
      <c r="F233" t="s">
        <v>25</v>
      </c>
      <c r="G233" t="s">
        <v>785</v>
      </c>
      <c r="H233" t="s">
        <v>825</v>
      </c>
      <c r="I233">
        <v>1966</v>
      </c>
      <c r="J233" t="s">
        <v>91</v>
      </c>
      <c r="K233" t="s">
        <v>91</v>
      </c>
      <c r="M233" t="s">
        <v>91</v>
      </c>
      <c r="N233">
        <v>1</v>
      </c>
      <c r="O233">
        <v>0</v>
      </c>
      <c r="P233" t="s">
        <v>91</v>
      </c>
      <c r="Q233">
        <v>1</v>
      </c>
      <c r="R233" t="s">
        <v>947</v>
      </c>
      <c r="S233" t="s">
        <v>91</v>
      </c>
      <c r="T233" t="s">
        <v>91</v>
      </c>
      <c r="U233" s="144"/>
    </row>
    <row r="234" spans="1:21">
      <c r="A234">
        <v>232</v>
      </c>
      <c r="B234" t="s">
        <v>784</v>
      </c>
      <c r="C234" t="s">
        <v>783</v>
      </c>
      <c r="D234" t="s">
        <v>1267</v>
      </c>
      <c r="E234" t="s">
        <v>468</v>
      </c>
      <c r="F234" t="s">
        <v>25</v>
      </c>
      <c r="G234" t="s">
        <v>785</v>
      </c>
      <c r="H234" t="s">
        <v>828</v>
      </c>
      <c r="J234" t="s">
        <v>789</v>
      </c>
      <c r="K234" t="s">
        <v>91</v>
      </c>
      <c r="M234" t="s">
        <v>91</v>
      </c>
      <c r="N234">
        <v>1</v>
      </c>
      <c r="O234">
        <v>0</v>
      </c>
      <c r="P234" t="s">
        <v>91</v>
      </c>
      <c r="Q234">
        <v>1</v>
      </c>
      <c r="R234" t="s">
        <v>947</v>
      </c>
      <c r="S234" t="s">
        <v>91</v>
      </c>
      <c r="T234" t="s">
        <v>91</v>
      </c>
      <c r="U234" s="144" t="s">
        <v>292</v>
      </c>
    </row>
    <row r="235" spans="1:21">
      <c r="A235">
        <v>233</v>
      </c>
      <c r="B235" t="s">
        <v>784</v>
      </c>
      <c r="C235" t="s">
        <v>757</v>
      </c>
      <c r="D235" t="s">
        <v>1236</v>
      </c>
      <c r="E235" t="s">
        <v>468</v>
      </c>
      <c r="F235" t="s">
        <v>25</v>
      </c>
      <c r="G235" t="s">
        <v>788</v>
      </c>
      <c r="H235" t="s">
        <v>53</v>
      </c>
      <c r="I235">
        <v>2004</v>
      </c>
      <c r="J235" t="s">
        <v>789</v>
      </c>
      <c r="K235" t="s">
        <v>139</v>
      </c>
      <c r="M235" t="s">
        <v>139</v>
      </c>
      <c r="N235">
        <v>0</v>
      </c>
      <c r="O235">
        <v>0</v>
      </c>
      <c r="P235" t="s">
        <v>139</v>
      </c>
      <c r="Q235">
        <v>0</v>
      </c>
      <c r="R235" t="s">
        <v>947</v>
      </c>
      <c r="S235" t="s">
        <v>139</v>
      </c>
      <c r="T235" t="s">
        <v>91</v>
      </c>
      <c r="U235" s="144"/>
    </row>
    <row r="236" spans="1:21">
      <c r="A236">
        <v>234</v>
      </c>
      <c r="B236" t="s">
        <v>784</v>
      </c>
      <c r="C236" t="s">
        <v>765</v>
      </c>
      <c r="D236" t="s">
        <v>1245</v>
      </c>
      <c r="E236" t="s">
        <v>468</v>
      </c>
      <c r="F236" t="s">
        <v>25</v>
      </c>
      <c r="G236" t="s">
        <v>788</v>
      </c>
      <c r="H236" t="s">
        <v>826</v>
      </c>
      <c r="I236">
        <v>1962</v>
      </c>
      <c r="J236" t="s">
        <v>789</v>
      </c>
      <c r="K236" t="s">
        <v>91</v>
      </c>
      <c r="M236" t="s">
        <v>91</v>
      </c>
      <c r="N236">
        <v>1</v>
      </c>
      <c r="O236">
        <v>0</v>
      </c>
      <c r="P236" t="s">
        <v>91</v>
      </c>
      <c r="Q236">
        <v>1</v>
      </c>
      <c r="R236" t="s">
        <v>947</v>
      </c>
      <c r="S236" t="s">
        <v>1246</v>
      </c>
      <c r="T236" t="s">
        <v>91</v>
      </c>
      <c r="U236" s="144" t="s">
        <v>292</v>
      </c>
    </row>
    <row r="237" spans="1:21">
      <c r="A237">
        <v>235</v>
      </c>
      <c r="B237" t="s">
        <v>784</v>
      </c>
      <c r="C237" t="s">
        <v>770</v>
      </c>
      <c r="D237" t="s">
        <v>1252</v>
      </c>
      <c r="E237" t="s">
        <v>468</v>
      </c>
      <c r="F237" t="s">
        <v>25</v>
      </c>
      <c r="G237" t="s">
        <v>788</v>
      </c>
      <c r="H237" t="s">
        <v>812</v>
      </c>
      <c r="I237">
        <v>1972</v>
      </c>
      <c r="J237" t="s">
        <v>789</v>
      </c>
      <c r="K237" t="s">
        <v>91</v>
      </c>
      <c r="M237" t="s">
        <v>91</v>
      </c>
      <c r="N237">
        <v>1</v>
      </c>
      <c r="O237">
        <v>0</v>
      </c>
      <c r="P237" t="s">
        <v>91</v>
      </c>
      <c r="Q237">
        <v>1</v>
      </c>
      <c r="R237" t="s">
        <v>947</v>
      </c>
      <c r="S237" t="s">
        <v>139</v>
      </c>
      <c r="T237" t="s">
        <v>91</v>
      </c>
      <c r="U237" s="144"/>
    </row>
    <row r="238" spans="1:21">
      <c r="A238">
        <v>236</v>
      </c>
      <c r="B238" t="s">
        <v>784</v>
      </c>
      <c r="C238" t="s">
        <v>773</v>
      </c>
      <c r="D238" t="s">
        <v>1255</v>
      </c>
      <c r="E238" t="s">
        <v>468</v>
      </c>
      <c r="F238" t="s">
        <v>25</v>
      </c>
      <c r="G238" t="s">
        <v>788</v>
      </c>
      <c r="H238" t="s">
        <v>815</v>
      </c>
      <c r="I238">
        <v>1976</v>
      </c>
      <c r="J238" t="s">
        <v>789</v>
      </c>
      <c r="K238" t="s">
        <v>91</v>
      </c>
      <c r="M238" t="s">
        <v>1256</v>
      </c>
      <c r="N238">
        <v>0</v>
      </c>
      <c r="O238">
        <v>0</v>
      </c>
      <c r="P238" t="s">
        <v>91</v>
      </c>
      <c r="Q238">
        <v>1</v>
      </c>
      <c r="R238" t="s">
        <v>977</v>
      </c>
      <c r="S238" t="s">
        <v>139</v>
      </c>
      <c r="T238" t="s">
        <v>91</v>
      </c>
      <c r="U238" s="144"/>
    </row>
    <row r="239" spans="1:21">
      <c r="A239">
        <v>237</v>
      </c>
      <c r="B239" t="s">
        <v>784</v>
      </c>
      <c r="C239" t="s">
        <v>775</v>
      </c>
      <c r="D239" t="s">
        <v>1258</v>
      </c>
      <c r="E239" t="s">
        <v>468</v>
      </c>
      <c r="F239" t="s">
        <v>25</v>
      </c>
      <c r="G239" t="s">
        <v>788</v>
      </c>
      <c r="H239" t="s">
        <v>679</v>
      </c>
      <c r="I239">
        <v>1950</v>
      </c>
      <c r="J239" t="s">
        <v>789</v>
      </c>
      <c r="K239" t="s">
        <v>91</v>
      </c>
      <c r="U239" s="144"/>
    </row>
    <row r="240" spans="1:21">
      <c r="A240">
        <v>238</v>
      </c>
      <c r="B240" t="s">
        <v>784</v>
      </c>
      <c r="C240" t="s">
        <v>776</v>
      </c>
      <c r="D240" t="s">
        <v>1259</v>
      </c>
      <c r="E240" t="s">
        <v>468</v>
      </c>
      <c r="F240" t="s">
        <v>25</v>
      </c>
      <c r="G240" t="s">
        <v>788</v>
      </c>
      <c r="H240" t="s">
        <v>817</v>
      </c>
      <c r="I240">
        <v>1954</v>
      </c>
      <c r="J240" t="s">
        <v>789</v>
      </c>
      <c r="K240" t="s">
        <v>91</v>
      </c>
      <c r="M240" t="s">
        <v>91</v>
      </c>
      <c r="N240">
        <v>1</v>
      </c>
      <c r="O240">
        <v>0</v>
      </c>
      <c r="P240" t="s">
        <v>91</v>
      </c>
      <c r="Q240">
        <v>1</v>
      </c>
      <c r="R240" t="s">
        <v>947</v>
      </c>
      <c r="S240" t="s">
        <v>139</v>
      </c>
      <c r="T240" t="s">
        <v>91</v>
      </c>
      <c r="U240" s="144" t="s">
        <v>292</v>
      </c>
    </row>
    <row r="241" spans="1:21">
      <c r="A241">
        <v>239</v>
      </c>
      <c r="B241" t="s">
        <v>784</v>
      </c>
      <c r="C241" t="s">
        <v>781</v>
      </c>
      <c r="D241" t="s">
        <v>1265</v>
      </c>
      <c r="E241" t="s">
        <v>468</v>
      </c>
      <c r="F241" t="s">
        <v>25</v>
      </c>
      <c r="G241" t="s">
        <v>788</v>
      </c>
      <c r="H241" t="s">
        <v>823</v>
      </c>
      <c r="I241">
        <v>1952</v>
      </c>
      <c r="J241" t="s">
        <v>789</v>
      </c>
      <c r="K241" t="s">
        <v>91</v>
      </c>
      <c r="M241" t="s">
        <v>91</v>
      </c>
      <c r="N241">
        <v>1</v>
      </c>
      <c r="O241">
        <v>0</v>
      </c>
      <c r="P241" t="s">
        <v>91</v>
      </c>
      <c r="Q241">
        <v>1</v>
      </c>
      <c r="R241" t="s">
        <v>947</v>
      </c>
      <c r="S241" t="s">
        <v>139</v>
      </c>
      <c r="T241" t="s">
        <v>91</v>
      </c>
      <c r="U241" s="144"/>
    </row>
    <row r="242" spans="1:21">
      <c r="A242">
        <v>240</v>
      </c>
      <c r="B242" t="s">
        <v>784</v>
      </c>
      <c r="C242" t="s">
        <v>753</v>
      </c>
      <c r="D242" t="s">
        <v>1229</v>
      </c>
      <c r="E242" t="s">
        <v>468</v>
      </c>
      <c r="F242" t="s">
        <v>25</v>
      </c>
      <c r="G242" t="s">
        <v>787</v>
      </c>
      <c r="H242" t="s">
        <v>796</v>
      </c>
      <c r="J242" t="s">
        <v>789</v>
      </c>
      <c r="K242" t="s">
        <v>91</v>
      </c>
      <c r="M242" t="s">
        <v>139</v>
      </c>
      <c r="N242">
        <v>0</v>
      </c>
      <c r="O242">
        <v>0</v>
      </c>
      <c r="P242" t="s">
        <v>91</v>
      </c>
      <c r="Q242">
        <v>1</v>
      </c>
      <c r="R242" t="s">
        <v>1230</v>
      </c>
      <c r="S242" t="s">
        <v>139</v>
      </c>
      <c r="T242" t="s">
        <v>91</v>
      </c>
      <c r="U242" s="144"/>
    </row>
    <row r="243" spans="1:21">
      <c r="A243">
        <v>241</v>
      </c>
      <c r="B243" t="s">
        <v>784</v>
      </c>
      <c r="C243" t="s">
        <v>768</v>
      </c>
      <c r="D243" t="s">
        <v>1249</v>
      </c>
      <c r="E243" t="s">
        <v>468</v>
      </c>
      <c r="F243" t="s">
        <v>25</v>
      </c>
      <c r="G243" t="s">
        <v>787</v>
      </c>
      <c r="H243" t="s">
        <v>808</v>
      </c>
      <c r="I243">
        <v>1927</v>
      </c>
      <c r="J243" t="s">
        <v>789</v>
      </c>
      <c r="K243" t="s">
        <v>91</v>
      </c>
      <c r="U243" s="144"/>
    </row>
    <row r="244" spans="1:21">
      <c r="A244">
        <v>242</v>
      </c>
      <c r="B244" t="s">
        <v>784</v>
      </c>
      <c r="C244" t="s">
        <v>772</v>
      </c>
      <c r="D244" t="s">
        <v>1254</v>
      </c>
      <c r="E244" t="s">
        <v>468</v>
      </c>
      <c r="F244" t="s">
        <v>25</v>
      </c>
      <c r="G244" t="s">
        <v>787</v>
      </c>
      <c r="H244" t="s">
        <v>822</v>
      </c>
      <c r="J244" t="s">
        <v>789</v>
      </c>
      <c r="K244" t="s">
        <v>91</v>
      </c>
      <c r="M244" t="s">
        <v>91</v>
      </c>
      <c r="N244">
        <v>1</v>
      </c>
      <c r="O244">
        <v>0</v>
      </c>
      <c r="P244" t="s">
        <v>91</v>
      </c>
      <c r="Q244">
        <v>1</v>
      </c>
      <c r="R244" t="s">
        <v>947</v>
      </c>
      <c r="S244" t="s">
        <v>139</v>
      </c>
      <c r="T244" t="s">
        <v>139</v>
      </c>
      <c r="U244" s="144"/>
    </row>
    <row r="245" spans="1:21">
      <c r="A245">
        <v>243</v>
      </c>
      <c r="B245" t="s">
        <v>784</v>
      </c>
      <c r="C245" t="s">
        <v>778</v>
      </c>
      <c r="D245" t="s">
        <v>1261</v>
      </c>
      <c r="E245" t="s">
        <v>468</v>
      </c>
      <c r="F245" t="s">
        <v>25</v>
      </c>
      <c r="G245" t="s">
        <v>787</v>
      </c>
      <c r="H245" t="s">
        <v>819</v>
      </c>
      <c r="I245">
        <v>1968</v>
      </c>
      <c r="J245" t="s">
        <v>789</v>
      </c>
      <c r="K245" t="s">
        <v>91</v>
      </c>
      <c r="M245" t="s">
        <v>1262</v>
      </c>
      <c r="N245">
        <v>0</v>
      </c>
      <c r="O245">
        <v>0</v>
      </c>
      <c r="P245" t="s">
        <v>91</v>
      </c>
      <c r="Q245">
        <v>1</v>
      </c>
      <c r="R245" t="s">
        <v>947</v>
      </c>
      <c r="S245" t="s">
        <v>139</v>
      </c>
      <c r="T245" t="s">
        <v>91</v>
      </c>
      <c r="U245" s="144"/>
    </row>
    <row r="246" spans="1:21">
      <c r="A246">
        <v>244</v>
      </c>
      <c r="B246" t="s">
        <v>784</v>
      </c>
      <c r="C246" t="s">
        <v>750</v>
      </c>
      <c r="D246" t="s">
        <v>1226</v>
      </c>
      <c r="E246" t="s">
        <v>468</v>
      </c>
      <c r="F246" t="s">
        <v>25</v>
      </c>
      <c r="G246" t="s">
        <v>786</v>
      </c>
      <c r="H246" t="s">
        <v>25</v>
      </c>
      <c r="J246" t="s">
        <v>139</v>
      </c>
      <c r="K246" t="s">
        <v>91</v>
      </c>
      <c r="M246" t="s">
        <v>91</v>
      </c>
      <c r="N246">
        <v>1</v>
      </c>
      <c r="O246">
        <v>0</v>
      </c>
      <c r="P246" t="s">
        <v>91</v>
      </c>
      <c r="Q246">
        <v>1</v>
      </c>
      <c r="R246" t="s">
        <v>977</v>
      </c>
      <c r="S246" t="s">
        <v>91</v>
      </c>
      <c r="T246" t="s">
        <v>91</v>
      </c>
      <c r="U246" s="144"/>
    </row>
    <row r="247" spans="1:21">
      <c r="A247">
        <v>245</v>
      </c>
      <c r="B247" t="s">
        <v>784</v>
      </c>
      <c r="C247" t="s">
        <v>751</v>
      </c>
      <c r="D247" t="s">
        <v>1227</v>
      </c>
      <c r="E247" t="s">
        <v>468</v>
      </c>
      <c r="F247" t="s">
        <v>25</v>
      </c>
      <c r="G247" t="s">
        <v>786</v>
      </c>
      <c r="H247" t="s">
        <v>793</v>
      </c>
      <c r="I247">
        <v>1989</v>
      </c>
      <c r="J247" t="s">
        <v>139</v>
      </c>
      <c r="K247" t="s">
        <v>91</v>
      </c>
      <c r="M247" t="s">
        <v>139</v>
      </c>
      <c r="N247">
        <v>0</v>
      </c>
      <c r="O247">
        <v>0</v>
      </c>
      <c r="P247" t="s">
        <v>91</v>
      </c>
      <c r="Q247">
        <v>1</v>
      </c>
      <c r="R247" t="s">
        <v>947</v>
      </c>
      <c r="S247" t="s">
        <v>91</v>
      </c>
      <c r="T247">
        <v>0</v>
      </c>
      <c r="U247" s="144"/>
    </row>
    <row r="248" spans="1:21">
      <c r="A248">
        <v>246</v>
      </c>
      <c r="B248" t="s">
        <v>784</v>
      </c>
      <c r="C248" t="s">
        <v>755</v>
      </c>
      <c r="D248" t="s">
        <v>1233</v>
      </c>
      <c r="E248" t="s">
        <v>468</v>
      </c>
      <c r="F248" t="s">
        <v>25</v>
      </c>
      <c r="G248" t="s">
        <v>786</v>
      </c>
      <c r="H248" t="s">
        <v>498</v>
      </c>
      <c r="I248">
        <v>1999</v>
      </c>
      <c r="J248" t="s">
        <v>139</v>
      </c>
      <c r="K248" t="s">
        <v>91</v>
      </c>
      <c r="M248" t="s">
        <v>1234</v>
      </c>
      <c r="N248">
        <v>0</v>
      </c>
      <c r="O248">
        <v>0</v>
      </c>
      <c r="P248" t="s">
        <v>91</v>
      </c>
      <c r="Q248">
        <v>1</v>
      </c>
      <c r="R248" t="s">
        <v>947</v>
      </c>
      <c r="S248" t="s">
        <v>91</v>
      </c>
      <c r="T248" t="s">
        <v>91</v>
      </c>
      <c r="U248" s="144"/>
    </row>
    <row r="249" spans="1:21">
      <c r="A249">
        <v>247</v>
      </c>
      <c r="B249" t="s">
        <v>784</v>
      </c>
      <c r="C249" t="s">
        <v>766</v>
      </c>
      <c r="D249" t="s">
        <v>1247</v>
      </c>
      <c r="E249" t="s">
        <v>468</v>
      </c>
      <c r="F249" t="s">
        <v>25</v>
      </c>
      <c r="G249" t="s">
        <v>786</v>
      </c>
      <c r="H249" t="s">
        <v>59</v>
      </c>
      <c r="I249">
        <v>1964</v>
      </c>
      <c r="J249" t="s">
        <v>789</v>
      </c>
      <c r="K249" t="s">
        <v>91</v>
      </c>
      <c r="M249" t="s">
        <v>139</v>
      </c>
      <c r="N249">
        <v>0</v>
      </c>
      <c r="O249">
        <v>0</v>
      </c>
      <c r="P249" t="s">
        <v>91</v>
      </c>
      <c r="Q249">
        <v>1</v>
      </c>
      <c r="R249" t="s">
        <v>977</v>
      </c>
      <c r="S249" t="s">
        <v>91</v>
      </c>
      <c r="T249" t="s">
        <v>91</v>
      </c>
      <c r="U249" s="144"/>
    </row>
    <row r="250" spans="1:21">
      <c r="A250">
        <v>248</v>
      </c>
      <c r="B250" t="s">
        <v>784</v>
      </c>
      <c r="C250" t="s">
        <v>771</v>
      </c>
      <c r="D250" t="s">
        <v>1253</v>
      </c>
      <c r="E250" t="s">
        <v>468</v>
      </c>
      <c r="F250" t="s">
        <v>25</v>
      </c>
      <c r="G250" t="s">
        <v>786</v>
      </c>
      <c r="H250" t="s">
        <v>55</v>
      </c>
      <c r="I250">
        <v>1972</v>
      </c>
      <c r="J250" t="s">
        <v>789</v>
      </c>
      <c r="K250" t="s">
        <v>91</v>
      </c>
      <c r="M250" t="s">
        <v>139</v>
      </c>
      <c r="N250">
        <v>0</v>
      </c>
      <c r="O250">
        <v>0</v>
      </c>
      <c r="P250" t="s">
        <v>91</v>
      </c>
      <c r="Q250">
        <v>1</v>
      </c>
      <c r="R250" t="s">
        <v>947</v>
      </c>
      <c r="S250" t="s">
        <v>91</v>
      </c>
      <c r="T250" t="s">
        <v>91</v>
      </c>
      <c r="U250" s="144"/>
    </row>
    <row r="251" spans="1:21">
      <c r="A251">
        <v>249</v>
      </c>
      <c r="B251" t="s">
        <v>784</v>
      </c>
      <c r="C251" t="s">
        <v>774</v>
      </c>
      <c r="D251" t="s">
        <v>1257</v>
      </c>
      <c r="E251" t="s">
        <v>468</v>
      </c>
      <c r="F251" t="s">
        <v>25</v>
      </c>
      <c r="G251" t="s">
        <v>786</v>
      </c>
      <c r="H251" t="s">
        <v>56</v>
      </c>
      <c r="I251">
        <v>1997</v>
      </c>
      <c r="J251" t="s">
        <v>139</v>
      </c>
      <c r="K251" t="s">
        <v>91</v>
      </c>
      <c r="M251" t="s">
        <v>139</v>
      </c>
      <c r="N251">
        <v>0</v>
      </c>
      <c r="O251">
        <v>0</v>
      </c>
      <c r="P251" t="s">
        <v>91</v>
      </c>
      <c r="Q251">
        <v>1</v>
      </c>
      <c r="R251" t="s">
        <v>947</v>
      </c>
      <c r="S251" t="s">
        <v>91</v>
      </c>
      <c r="T251" t="s">
        <v>91</v>
      </c>
      <c r="U251" s="144"/>
    </row>
    <row r="252" spans="1:21">
      <c r="A252">
        <v>250</v>
      </c>
      <c r="B252" t="s">
        <v>565</v>
      </c>
      <c r="C252" t="s">
        <v>505</v>
      </c>
      <c r="D252" t="s">
        <v>1268</v>
      </c>
      <c r="E252" t="s">
        <v>467</v>
      </c>
      <c r="F252" t="s">
        <v>26</v>
      </c>
      <c r="G252" t="s">
        <v>129</v>
      </c>
      <c r="H252" t="s">
        <v>129</v>
      </c>
      <c r="I252">
        <v>1973</v>
      </c>
      <c r="J252" t="s">
        <v>40</v>
      </c>
      <c r="K252" t="s">
        <v>91</v>
      </c>
      <c r="M252" t="s">
        <v>139</v>
      </c>
      <c r="N252">
        <v>0</v>
      </c>
      <c r="O252">
        <v>0</v>
      </c>
      <c r="P252" t="s">
        <v>91</v>
      </c>
      <c r="Q252">
        <v>1</v>
      </c>
      <c r="R252" t="s">
        <v>947</v>
      </c>
      <c r="S252" t="s">
        <v>91</v>
      </c>
      <c r="T252" t="s">
        <v>91</v>
      </c>
      <c r="U252" s="144"/>
    </row>
    <row r="253" spans="1:21">
      <c r="A253">
        <v>251</v>
      </c>
      <c r="B253" t="s">
        <v>565</v>
      </c>
      <c r="C253" t="s">
        <v>508</v>
      </c>
      <c r="D253" t="s">
        <v>1271</v>
      </c>
      <c r="E253" t="s">
        <v>467</v>
      </c>
      <c r="F253" t="s">
        <v>26</v>
      </c>
      <c r="G253" t="s">
        <v>129</v>
      </c>
      <c r="H253" t="s">
        <v>129</v>
      </c>
      <c r="I253">
        <v>1972</v>
      </c>
      <c r="J253" t="s">
        <v>39</v>
      </c>
      <c r="K253" t="s">
        <v>91</v>
      </c>
      <c r="M253" t="s">
        <v>91</v>
      </c>
      <c r="N253">
        <v>1</v>
      </c>
      <c r="O253">
        <v>0</v>
      </c>
      <c r="P253" t="s">
        <v>91</v>
      </c>
      <c r="Q253">
        <v>1</v>
      </c>
      <c r="R253" t="s">
        <v>947</v>
      </c>
      <c r="S253" t="s">
        <v>91</v>
      </c>
      <c r="T253" t="s">
        <v>91</v>
      </c>
      <c r="U253" s="144"/>
    </row>
    <row r="254" spans="1:21">
      <c r="A254">
        <v>252</v>
      </c>
      <c r="B254" t="s">
        <v>565</v>
      </c>
      <c r="C254" t="s">
        <v>511</v>
      </c>
      <c r="D254" t="s">
        <v>1275</v>
      </c>
      <c r="E254" t="s">
        <v>467</v>
      </c>
      <c r="F254" t="s">
        <v>26</v>
      </c>
      <c r="G254" t="s">
        <v>129</v>
      </c>
      <c r="H254" t="s">
        <v>129</v>
      </c>
      <c r="I254">
        <v>1979</v>
      </c>
      <c r="J254" t="s">
        <v>40</v>
      </c>
      <c r="K254" t="s">
        <v>91</v>
      </c>
      <c r="M254" t="s">
        <v>139</v>
      </c>
      <c r="N254">
        <v>0</v>
      </c>
      <c r="O254">
        <v>0</v>
      </c>
      <c r="P254" t="s">
        <v>91</v>
      </c>
      <c r="Q254">
        <v>1</v>
      </c>
      <c r="R254" t="s">
        <v>999</v>
      </c>
      <c r="S254" t="s">
        <v>91</v>
      </c>
      <c r="T254" t="s">
        <v>91</v>
      </c>
      <c r="U254" s="144"/>
    </row>
    <row r="255" spans="1:21">
      <c r="A255">
        <v>253</v>
      </c>
      <c r="B255" t="s">
        <v>565</v>
      </c>
      <c r="C255" t="s">
        <v>512</v>
      </c>
      <c r="D255" t="s">
        <v>1276</v>
      </c>
      <c r="E255" t="s">
        <v>467</v>
      </c>
      <c r="F255" t="s">
        <v>26</v>
      </c>
      <c r="G255" t="s">
        <v>129</v>
      </c>
      <c r="H255" t="s">
        <v>129</v>
      </c>
      <c r="I255">
        <v>1990</v>
      </c>
      <c r="J255" t="s">
        <v>39</v>
      </c>
      <c r="K255" t="s">
        <v>91</v>
      </c>
      <c r="M255" t="s">
        <v>139</v>
      </c>
      <c r="N255">
        <v>0</v>
      </c>
      <c r="O255">
        <v>0</v>
      </c>
      <c r="P255" t="s">
        <v>91</v>
      </c>
      <c r="Q255">
        <v>1</v>
      </c>
      <c r="R255" t="s">
        <v>947</v>
      </c>
      <c r="S255" t="s">
        <v>91</v>
      </c>
      <c r="T255" t="s">
        <v>91</v>
      </c>
      <c r="U255" s="144"/>
    </row>
    <row r="256" spans="1:21">
      <c r="A256">
        <v>254</v>
      </c>
      <c r="B256" t="s">
        <v>565</v>
      </c>
      <c r="C256" t="s">
        <v>513</v>
      </c>
      <c r="D256" t="s">
        <v>1277</v>
      </c>
      <c r="E256" t="s">
        <v>467</v>
      </c>
      <c r="F256" t="s">
        <v>26</v>
      </c>
      <c r="G256" t="s">
        <v>129</v>
      </c>
      <c r="H256" t="s">
        <v>129</v>
      </c>
      <c r="I256">
        <v>2009</v>
      </c>
      <c r="J256" t="s">
        <v>39</v>
      </c>
      <c r="K256" t="s">
        <v>91</v>
      </c>
      <c r="M256" t="s">
        <v>1278</v>
      </c>
      <c r="N256">
        <v>0</v>
      </c>
      <c r="O256">
        <v>0</v>
      </c>
      <c r="P256" t="s">
        <v>139</v>
      </c>
      <c r="Q256">
        <v>0</v>
      </c>
      <c r="R256" t="s">
        <v>1279</v>
      </c>
      <c r="S256" t="s">
        <v>91</v>
      </c>
      <c r="T256" t="s">
        <v>91</v>
      </c>
      <c r="U256" s="144"/>
    </row>
    <row r="257" spans="1:21">
      <c r="A257">
        <v>255</v>
      </c>
      <c r="B257" t="s">
        <v>565</v>
      </c>
      <c r="C257" t="s">
        <v>515</v>
      </c>
      <c r="D257" t="s">
        <v>1281</v>
      </c>
      <c r="E257" t="s">
        <v>467</v>
      </c>
      <c r="F257" t="s">
        <v>26</v>
      </c>
      <c r="G257" t="s">
        <v>129</v>
      </c>
      <c r="H257" t="s">
        <v>136</v>
      </c>
      <c r="I257">
        <v>1954</v>
      </c>
      <c r="J257" t="s">
        <v>40</v>
      </c>
      <c r="K257" t="s">
        <v>91</v>
      </c>
      <c r="M257" t="s">
        <v>1282</v>
      </c>
      <c r="N257">
        <v>0</v>
      </c>
      <c r="O257">
        <v>0</v>
      </c>
      <c r="P257" t="s">
        <v>91</v>
      </c>
      <c r="Q257">
        <v>1</v>
      </c>
      <c r="R257" t="s">
        <v>947</v>
      </c>
      <c r="S257" t="s">
        <v>139</v>
      </c>
      <c r="T257" t="s">
        <v>91</v>
      </c>
      <c r="U257" s="144"/>
    </row>
    <row r="258" spans="1:21">
      <c r="A258">
        <v>256</v>
      </c>
      <c r="B258" t="s">
        <v>565</v>
      </c>
      <c r="C258" t="s">
        <v>516</v>
      </c>
      <c r="D258" t="s">
        <v>1283</v>
      </c>
      <c r="E258" t="s">
        <v>467</v>
      </c>
      <c r="F258" t="s">
        <v>26</v>
      </c>
      <c r="G258" t="s">
        <v>129</v>
      </c>
      <c r="H258" t="s">
        <v>568</v>
      </c>
      <c r="I258">
        <v>1979</v>
      </c>
      <c r="J258" t="s">
        <v>39</v>
      </c>
      <c r="K258" t="s">
        <v>91</v>
      </c>
      <c r="M258" t="s">
        <v>91</v>
      </c>
      <c r="N258">
        <v>1</v>
      </c>
      <c r="O258">
        <v>0</v>
      </c>
      <c r="P258" t="s">
        <v>91</v>
      </c>
      <c r="Q258">
        <v>1</v>
      </c>
      <c r="R258" t="s">
        <v>947</v>
      </c>
      <c r="S258" t="s">
        <v>91</v>
      </c>
      <c r="T258" t="s">
        <v>91</v>
      </c>
      <c r="U258" s="144"/>
    </row>
    <row r="259" spans="1:21">
      <c r="A259">
        <v>257</v>
      </c>
      <c r="B259" t="s">
        <v>565</v>
      </c>
      <c r="C259" t="s">
        <v>518</v>
      </c>
      <c r="D259" t="s">
        <v>1285</v>
      </c>
      <c r="E259" t="s">
        <v>467</v>
      </c>
      <c r="F259" t="s">
        <v>26</v>
      </c>
      <c r="G259" t="s">
        <v>129</v>
      </c>
      <c r="H259" t="s">
        <v>569</v>
      </c>
      <c r="I259">
        <v>1959</v>
      </c>
      <c r="J259" t="s">
        <v>40</v>
      </c>
      <c r="K259" t="s">
        <v>91</v>
      </c>
      <c r="M259" t="s">
        <v>91</v>
      </c>
      <c r="N259">
        <v>1</v>
      </c>
      <c r="O259">
        <v>0</v>
      </c>
      <c r="P259" t="s">
        <v>91</v>
      </c>
      <c r="Q259">
        <v>1</v>
      </c>
      <c r="R259" t="s">
        <v>947</v>
      </c>
      <c r="S259" t="s">
        <v>91</v>
      </c>
      <c r="T259" t="s">
        <v>139</v>
      </c>
      <c r="U259" s="144"/>
    </row>
    <row r="260" spans="1:21">
      <c r="A260">
        <v>258</v>
      </c>
      <c r="B260" t="s">
        <v>565</v>
      </c>
      <c r="C260" t="s">
        <v>520</v>
      </c>
      <c r="E260" t="s">
        <v>467</v>
      </c>
      <c r="F260" t="s">
        <v>26</v>
      </c>
      <c r="G260" t="s">
        <v>129</v>
      </c>
      <c r="H260" t="s">
        <v>141</v>
      </c>
      <c r="I260">
        <v>1970</v>
      </c>
      <c r="J260" t="s">
        <v>40</v>
      </c>
      <c r="K260" t="s">
        <v>91</v>
      </c>
      <c r="U260" s="144"/>
    </row>
    <row r="261" spans="1:21">
      <c r="A261">
        <v>259</v>
      </c>
      <c r="B261" t="s">
        <v>565</v>
      </c>
      <c r="C261" t="s">
        <v>521</v>
      </c>
      <c r="D261" t="s">
        <v>1287</v>
      </c>
      <c r="E261" t="s">
        <v>467</v>
      </c>
      <c r="F261" t="s">
        <v>26</v>
      </c>
      <c r="G261" t="s">
        <v>129</v>
      </c>
      <c r="H261" t="s">
        <v>133</v>
      </c>
      <c r="I261">
        <v>1958</v>
      </c>
      <c r="J261" t="s">
        <v>40</v>
      </c>
      <c r="K261" t="s">
        <v>91</v>
      </c>
      <c r="M261" t="s">
        <v>139</v>
      </c>
      <c r="N261">
        <v>0</v>
      </c>
      <c r="O261">
        <v>0</v>
      </c>
      <c r="P261" t="s">
        <v>139</v>
      </c>
      <c r="Q261">
        <v>0</v>
      </c>
      <c r="R261" t="s">
        <v>977</v>
      </c>
      <c r="S261" t="s">
        <v>91</v>
      </c>
      <c r="T261" t="s">
        <v>91</v>
      </c>
      <c r="U261" s="144"/>
    </row>
    <row r="262" spans="1:21">
      <c r="A262">
        <v>260</v>
      </c>
      <c r="B262" t="s">
        <v>565</v>
      </c>
      <c r="C262" t="s">
        <v>522</v>
      </c>
      <c r="D262" t="s">
        <v>1288</v>
      </c>
      <c r="E262" t="s">
        <v>467</v>
      </c>
      <c r="F262" t="s">
        <v>26</v>
      </c>
      <c r="G262" t="s">
        <v>129</v>
      </c>
      <c r="H262" t="s">
        <v>138</v>
      </c>
      <c r="I262">
        <v>1985</v>
      </c>
      <c r="J262" t="s">
        <v>40</v>
      </c>
      <c r="K262" t="s">
        <v>91</v>
      </c>
      <c r="M262" t="s">
        <v>139</v>
      </c>
      <c r="N262">
        <v>0</v>
      </c>
      <c r="O262">
        <v>0</v>
      </c>
      <c r="P262" t="s">
        <v>91</v>
      </c>
      <c r="Q262">
        <v>1</v>
      </c>
      <c r="R262" t="s">
        <v>977</v>
      </c>
      <c r="S262" t="s">
        <v>91</v>
      </c>
      <c r="T262" t="s">
        <v>139</v>
      </c>
      <c r="U262" s="144"/>
    </row>
    <row r="263" spans="1:21">
      <c r="A263">
        <v>261</v>
      </c>
      <c r="B263" t="s">
        <v>565</v>
      </c>
      <c r="C263" t="s">
        <v>524</v>
      </c>
      <c r="D263" t="s">
        <v>1290</v>
      </c>
      <c r="E263" t="s">
        <v>467</v>
      </c>
      <c r="F263" t="s">
        <v>26</v>
      </c>
      <c r="G263" t="s">
        <v>129</v>
      </c>
      <c r="H263" t="s">
        <v>572</v>
      </c>
      <c r="I263">
        <v>1998</v>
      </c>
      <c r="J263" t="s">
        <v>39</v>
      </c>
      <c r="K263" t="s">
        <v>91</v>
      </c>
      <c r="M263" t="s">
        <v>139</v>
      </c>
      <c r="N263">
        <v>0</v>
      </c>
      <c r="O263">
        <v>0</v>
      </c>
      <c r="P263" t="s">
        <v>91</v>
      </c>
      <c r="Q263">
        <v>1</v>
      </c>
      <c r="R263" t="s">
        <v>947</v>
      </c>
      <c r="S263" t="s">
        <v>139</v>
      </c>
      <c r="T263" t="s">
        <v>91</v>
      </c>
      <c r="U263" s="144"/>
    </row>
    <row r="264" spans="1:21">
      <c r="A264">
        <v>262</v>
      </c>
      <c r="B264" t="s">
        <v>565</v>
      </c>
      <c r="C264" t="s">
        <v>525</v>
      </c>
      <c r="D264" t="s">
        <v>1291</v>
      </c>
      <c r="E264" t="s">
        <v>467</v>
      </c>
      <c r="F264" t="s">
        <v>26</v>
      </c>
      <c r="G264" t="s">
        <v>129</v>
      </c>
      <c r="H264" t="s">
        <v>137</v>
      </c>
      <c r="I264">
        <v>2005</v>
      </c>
      <c r="J264" t="s">
        <v>40</v>
      </c>
      <c r="K264" t="s">
        <v>91</v>
      </c>
      <c r="M264" t="s">
        <v>139</v>
      </c>
      <c r="N264">
        <v>0</v>
      </c>
      <c r="O264">
        <v>0</v>
      </c>
      <c r="P264" t="s">
        <v>139</v>
      </c>
      <c r="Q264">
        <v>0</v>
      </c>
      <c r="R264" t="s">
        <v>951</v>
      </c>
      <c r="S264" t="s">
        <v>91</v>
      </c>
      <c r="T264" t="s">
        <v>91</v>
      </c>
      <c r="U264" s="144"/>
    </row>
    <row r="265" spans="1:21">
      <c r="A265">
        <v>263</v>
      </c>
      <c r="B265" t="s">
        <v>565</v>
      </c>
      <c r="C265" t="s">
        <v>527</v>
      </c>
      <c r="D265" t="s">
        <v>1293</v>
      </c>
      <c r="E265" t="s">
        <v>467</v>
      </c>
      <c r="F265" t="s">
        <v>26</v>
      </c>
      <c r="G265" t="s">
        <v>129</v>
      </c>
      <c r="H265" t="s">
        <v>573</v>
      </c>
      <c r="I265">
        <v>1954</v>
      </c>
      <c r="J265" t="s">
        <v>40</v>
      </c>
      <c r="K265" t="s">
        <v>91</v>
      </c>
      <c r="M265" t="s">
        <v>139</v>
      </c>
      <c r="N265">
        <v>0</v>
      </c>
      <c r="O265">
        <v>0</v>
      </c>
      <c r="P265" t="s">
        <v>139</v>
      </c>
      <c r="Q265">
        <v>0</v>
      </c>
      <c r="R265" t="s">
        <v>1294</v>
      </c>
      <c r="S265" t="s">
        <v>139</v>
      </c>
      <c r="T265" t="s">
        <v>139</v>
      </c>
      <c r="U265" s="144"/>
    </row>
    <row r="266" spans="1:21">
      <c r="A266">
        <v>264</v>
      </c>
      <c r="B266" t="s">
        <v>565</v>
      </c>
      <c r="C266" t="s">
        <v>528</v>
      </c>
      <c r="D266" t="s">
        <v>1295</v>
      </c>
      <c r="E266" t="s">
        <v>467</v>
      </c>
      <c r="F266" t="s">
        <v>26</v>
      </c>
      <c r="G266" t="s">
        <v>129</v>
      </c>
      <c r="H266" t="s">
        <v>129</v>
      </c>
      <c r="J266" t="s">
        <v>40</v>
      </c>
      <c r="K266" t="s">
        <v>91</v>
      </c>
      <c r="M266" t="s">
        <v>139</v>
      </c>
      <c r="N266">
        <v>0</v>
      </c>
      <c r="O266">
        <v>0</v>
      </c>
      <c r="P266" t="s">
        <v>91</v>
      </c>
      <c r="Q266">
        <v>1</v>
      </c>
      <c r="R266" t="s">
        <v>947</v>
      </c>
      <c r="S266" t="s">
        <v>91</v>
      </c>
      <c r="T266" t="s">
        <v>139</v>
      </c>
      <c r="U266" s="144"/>
    </row>
    <row r="267" spans="1:21">
      <c r="A267">
        <v>265</v>
      </c>
      <c r="B267" t="s">
        <v>565</v>
      </c>
      <c r="C267" t="s">
        <v>506</v>
      </c>
      <c r="D267" t="s">
        <v>1269</v>
      </c>
      <c r="E267" t="s">
        <v>467</v>
      </c>
      <c r="F267" t="s">
        <v>26</v>
      </c>
      <c r="G267" t="s">
        <v>131</v>
      </c>
      <c r="H267" t="s">
        <v>135</v>
      </c>
      <c r="I267">
        <v>2009</v>
      </c>
      <c r="J267" t="s">
        <v>39</v>
      </c>
      <c r="K267" t="s">
        <v>91</v>
      </c>
      <c r="M267" t="s">
        <v>139</v>
      </c>
      <c r="N267">
        <v>0</v>
      </c>
      <c r="O267">
        <v>0</v>
      </c>
      <c r="P267" t="s">
        <v>139</v>
      </c>
      <c r="Q267">
        <v>0</v>
      </c>
      <c r="R267" t="s">
        <v>947</v>
      </c>
      <c r="S267" t="s">
        <v>91</v>
      </c>
      <c r="T267" t="s">
        <v>91</v>
      </c>
      <c r="U267" s="144"/>
    </row>
    <row r="268" spans="1:21">
      <c r="A268">
        <v>266</v>
      </c>
      <c r="B268" t="s">
        <v>565</v>
      </c>
      <c r="C268" t="s">
        <v>510</v>
      </c>
      <c r="D268" t="s">
        <v>1274</v>
      </c>
      <c r="E268" t="s">
        <v>467</v>
      </c>
      <c r="F268" t="s">
        <v>26</v>
      </c>
      <c r="G268" t="s">
        <v>131</v>
      </c>
      <c r="H268" t="s">
        <v>134</v>
      </c>
      <c r="I268">
        <v>1988</v>
      </c>
      <c r="J268" t="s">
        <v>39</v>
      </c>
      <c r="K268" t="s">
        <v>91</v>
      </c>
      <c r="M268" t="s">
        <v>139</v>
      </c>
      <c r="N268">
        <v>0</v>
      </c>
      <c r="O268">
        <v>0</v>
      </c>
      <c r="P268" t="s">
        <v>91</v>
      </c>
      <c r="Q268">
        <v>1</v>
      </c>
      <c r="R268" t="s">
        <v>947</v>
      </c>
      <c r="S268" t="s">
        <v>91</v>
      </c>
      <c r="T268" t="s">
        <v>91</v>
      </c>
      <c r="U268" s="144"/>
    </row>
    <row r="269" spans="1:21">
      <c r="A269">
        <v>267</v>
      </c>
      <c r="B269" t="s">
        <v>565</v>
      </c>
      <c r="C269" t="s">
        <v>517</v>
      </c>
      <c r="D269" t="s">
        <v>1284</v>
      </c>
      <c r="E269" t="s">
        <v>467</v>
      </c>
      <c r="F269" t="s">
        <v>26</v>
      </c>
      <c r="G269" t="s">
        <v>131</v>
      </c>
      <c r="H269" t="s">
        <v>567</v>
      </c>
      <c r="I269">
        <v>1970</v>
      </c>
      <c r="J269" t="s">
        <v>40</v>
      </c>
      <c r="K269" t="s">
        <v>91</v>
      </c>
      <c r="M269" t="s">
        <v>91</v>
      </c>
      <c r="N269">
        <v>1</v>
      </c>
      <c r="O269">
        <v>0</v>
      </c>
      <c r="P269" t="s">
        <v>91</v>
      </c>
      <c r="Q269">
        <v>1</v>
      </c>
      <c r="R269" t="s">
        <v>947</v>
      </c>
      <c r="S269" t="s">
        <v>91</v>
      </c>
      <c r="T269" t="s">
        <v>91</v>
      </c>
      <c r="U269" s="144"/>
    </row>
    <row r="270" spans="1:21">
      <c r="A270">
        <v>268</v>
      </c>
      <c r="B270" t="s">
        <v>565</v>
      </c>
      <c r="C270" t="s">
        <v>523</v>
      </c>
      <c r="D270" t="s">
        <v>1289</v>
      </c>
      <c r="E270" t="s">
        <v>467</v>
      </c>
      <c r="F270" t="s">
        <v>26</v>
      </c>
      <c r="G270" t="s">
        <v>131</v>
      </c>
      <c r="H270" t="s">
        <v>571</v>
      </c>
      <c r="I270">
        <v>1980</v>
      </c>
      <c r="J270" t="s">
        <v>39</v>
      </c>
      <c r="K270" t="s">
        <v>91</v>
      </c>
      <c r="M270" t="s">
        <v>139</v>
      </c>
      <c r="N270">
        <v>0</v>
      </c>
      <c r="O270">
        <v>0</v>
      </c>
      <c r="P270" t="s">
        <v>139</v>
      </c>
      <c r="Q270">
        <v>0</v>
      </c>
      <c r="R270" t="s">
        <v>947</v>
      </c>
      <c r="S270" t="s">
        <v>91</v>
      </c>
      <c r="T270" t="s">
        <v>139</v>
      </c>
      <c r="U270" s="144"/>
    </row>
    <row r="271" spans="1:21">
      <c r="A271">
        <v>269</v>
      </c>
      <c r="B271" t="s">
        <v>565</v>
      </c>
      <c r="C271" t="s">
        <v>526</v>
      </c>
      <c r="D271" t="s">
        <v>1292</v>
      </c>
      <c r="E271" t="s">
        <v>467</v>
      </c>
      <c r="F271" t="s">
        <v>26</v>
      </c>
      <c r="G271" t="s">
        <v>131</v>
      </c>
      <c r="H271" t="s">
        <v>132</v>
      </c>
      <c r="I271">
        <v>1989</v>
      </c>
      <c r="J271" t="s">
        <v>39</v>
      </c>
      <c r="K271" t="s">
        <v>91</v>
      </c>
      <c r="M271" t="s">
        <v>139</v>
      </c>
      <c r="N271">
        <v>0</v>
      </c>
      <c r="O271">
        <v>0</v>
      </c>
      <c r="P271" t="s">
        <v>91</v>
      </c>
      <c r="Q271">
        <v>1</v>
      </c>
      <c r="R271" t="s">
        <v>947</v>
      </c>
      <c r="S271" t="s">
        <v>139</v>
      </c>
      <c r="T271" t="s">
        <v>91</v>
      </c>
      <c r="U271" s="144"/>
    </row>
    <row r="272" spans="1:21">
      <c r="A272">
        <v>270</v>
      </c>
      <c r="B272" t="s">
        <v>565</v>
      </c>
      <c r="C272" t="s">
        <v>529</v>
      </c>
      <c r="D272" t="s">
        <v>1296</v>
      </c>
      <c r="E272" t="s">
        <v>467</v>
      </c>
      <c r="F272" t="s">
        <v>26</v>
      </c>
      <c r="G272" t="s">
        <v>131</v>
      </c>
      <c r="I272">
        <v>1984</v>
      </c>
      <c r="J272" t="s">
        <v>40</v>
      </c>
      <c r="K272" t="s">
        <v>91</v>
      </c>
      <c r="M272" t="s">
        <v>139</v>
      </c>
      <c r="N272">
        <v>0</v>
      </c>
      <c r="O272">
        <v>0</v>
      </c>
      <c r="P272" t="s">
        <v>91</v>
      </c>
      <c r="Q272">
        <v>1</v>
      </c>
      <c r="R272" t="s">
        <v>947</v>
      </c>
      <c r="S272" t="s">
        <v>139</v>
      </c>
      <c r="T272" t="s">
        <v>91</v>
      </c>
      <c r="U272" s="144"/>
    </row>
    <row r="273" spans="1:21">
      <c r="A273">
        <v>271</v>
      </c>
      <c r="B273" t="s">
        <v>565</v>
      </c>
      <c r="C273" t="s">
        <v>507</v>
      </c>
      <c r="D273" t="s">
        <v>1270</v>
      </c>
      <c r="E273" t="s">
        <v>467</v>
      </c>
      <c r="F273" t="s">
        <v>26</v>
      </c>
      <c r="G273" t="s">
        <v>130</v>
      </c>
      <c r="H273" t="s">
        <v>130</v>
      </c>
      <c r="I273">
        <v>1935</v>
      </c>
      <c r="J273" t="s">
        <v>39</v>
      </c>
      <c r="K273" t="s">
        <v>91</v>
      </c>
      <c r="M273" t="s">
        <v>91</v>
      </c>
      <c r="N273">
        <v>1</v>
      </c>
      <c r="O273">
        <v>0</v>
      </c>
      <c r="P273" t="s">
        <v>91</v>
      </c>
      <c r="Q273">
        <v>1</v>
      </c>
      <c r="R273" t="s">
        <v>947</v>
      </c>
      <c r="S273" t="s">
        <v>91</v>
      </c>
      <c r="T273" t="s">
        <v>91</v>
      </c>
      <c r="U273" s="144"/>
    </row>
    <row r="274" spans="1:21">
      <c r="A274">
        <v>272</v>
      </c>
      <c r="B274" t="s">
        <v>565</v>
      </c>
      <c r="C274" t="s">
        <v>509</v>
      </c>
      <c r="D274" t="s">
        <v>1272</v>
      </c>
      <c r="E274" t="s">
        <v>467</v>
      </c>
      <c r="F274" t="s">
        <v>26</v>
      </c>
      <c r="G274" t="s">
        <v>130</v>
      </c>
      <c r="H274" t="s">
        <v>130</v>
      </c>
      <c r="I274">
        <v>1989</v>
      </c>
      <c r="J274" t="s">
        <v>39</v>
      </c>
      <c r="K274" t="s">
        <v>91</v>
      </c>
      <c r="M274" t="s">
        <v>91</v>
      </c>
      <c r="N274">
        <v>1</v>
      </c>
      <c r="O274">
        <v>0</v>
      </c>
      <c r="P274" t="s">
        <v>91</v>
      </c>
      <c r="Q274">
        <v>1</v>
      </c>
      <c r="R274" t="s">
        <v>1273</v>
      </c>
      <c r="S274" t="s">
        <v>139</v>
      </c>
      <c r="T274" t="s">
        <v>91</v>
      </c>
      <c r="U274" s="144"/>
    </row>
    <row r="275" spans="1:21">
      <c r="A275">
        <v>273</v>
      </c>
      <c r="B275" t="s">
        <v>565</v>
      </c>
      <c r="C275" t="s">
        <v>514</v>
      </c>
      <c r="D275" t="s">
        <v>1280</v>
      </c>
      <c r="E275" t="s">
        <v>467</v>
      </c>
      <c r="F275" t="s">
        <v>26</v>
      </c>
      <c r="G275" t="s">
        <v>130</v>
      </c>
      <c r="H275" t="s">
        <v>566</v>
      </c>
      <c r="I275">
        <v>1959</v>
      </c>
      <c r="J275" t="s">
        <v>40</v>
      </c>
      <c r="K275" t="s">
        <v>91</v>
      </c>
      <c r="M275" t="s">
        <v>139</v>
      </c>
      <c r="N275">
        <v>0</v>
      </c>
      <c r="O275">
        <v>0</v>
      </c>
      <c r="P275" t="s">
        <v>139</v>
      </c>
      <c r="Q275">
        <v>0</v>
      </c>
      <c r="R275" t="s">
        <v>977</v>
      </c>
      <c r="S275" t="s">
        <v>139</v>
      </c>
      <c r="T275">
        <v>0</v>
      </c>
      <c r="U275" s="144"/>
    </row>
    <row r="276" spans="1:21">
      <c r="A276">
        <v>274</v>
      </c>
      <c r="B276" t="s">
        <v>565</v>
      </c>
      <c r="C276" t="s">
        <v>519</v>
      </c>
      <c r="D276" t="s">
        <v>1286</v>
      </c>
      <c r="E276" t="s">
        <v>467</v>
      </c>
      <c r="F276" t="s">
        <v>26</v>
      </c>
      <c r="G276" t="s">
        <v>130</v>
      </c>
      <c r="H276" t="s">
        <v>570</v>
      </c>
      <c r="J276" t="s">
        <v>40</v>
      </c>
      <c r="K276" t="s">
        <v>91</v>
      </c>
      <c r="M276" t="s">
        <v>91</v>
      </c>
      <c r="N276">
        <v>1</v>
      </c>
      <c r="O276">
        <v>0</v>
      </c>
      <c r="P276" t="s">
        <v>91</v>
      </c>
      <c r="Q276">
        <v>1</v>
      </c>
      <c r="R276" t="s">
        <v>947</v>
      </c>
      <c r="S276" t="s">
        <v>139</v>
      </c>
      <c r="T276" t="s">
        <v>91</v>
      </c>
      <c r="U276" s="144"/>
    </row>
    <row r="277" spans="1:21">
      <c r="A277">
        <v>275</v>
      </c>
      <c r="B277" t="s">
        <v>565</v>
      </c>
      <c r="C277" t="s">
        <v>531</v>
      </c>
      <c r="D277" t="s">
        <v>1298</v>
      </c>
      <c r="E277" t="s">
        <v>468</v>
      </c>
      <c r="F277" t="s">
        <v>26</v>
      </c>
      <c r="G277" t="s">
        <v>129</v>
      </c>
      <c r="H277" t="s">
        <v>129</v>
      </c>
      <c r="I277">
        <v>1990</v>
      </c>
      <c r="J277" t="s">
        <v>39</v>
      </c>
      <c r="K277" t="s">
        <v>91</v>
      </c>
      <c r="M277" t="s">
        <v>91</v>
      </c>
      <c r="N277">
        <v>1</v>
      </c>
      <c r="O277">
        <v>0</v>
      </c>
      <c r="P277" t="s">
        <v>91</v>
      </c>
      <c r="Q277">
        <v>1</v>
      </c>
      <c r="R277" t="s">
        <v>947</v>
      </c>
      <c r="S277" t="s">
        <v>91</v>
      </c>
      <c r="T277" t="s">
        <v>139</v>
      </c>
      <c r="U277" s="144"/>
    </row>
    <row r="278" spans="1:21">
      <c r="A278">
        <v>276</v>
      </c>
      <c r="B278" t="s">
        <v>565</v>
      </c>
      <c r="C278" t="s">
        <v>533</v>
      </c>
      <c r="D278" t="s">
        <v>1300</v>
      </c>
      <c r="E278" t="s">
        <v>468</v>
      </c>
      <c r="F278" t="s">
        <v>26</v>
      </c>
      <c r="G278" t="s">
        <v>129</v>
      </c>
      <c r="H278" t="s">
        <v>568</v>
      </c>
      <c r="I278">
        <v>1987</v>
      </c>
      <c r="J278" t="s">
        <v>39</v>
      </c>
      <c r="K278" t="s">
        <v>91</v>
      </c>
      <c r="M278" t="s">
        <v>139</v>
      </c>
      <c r="N278">
        <v>0</v>
      </c>
      <c r="O278">
        <v>0</v>
      </c>
      <c r="P278" t="s">
        <v>91</v>
      </c>
      <c r="Q278">
        <v>1</v>
      </c>
      <c r="R278" t="s">
        <v>947</v>
      </c>
      <c r="S278" t="s">
        <v>91</v>
      </c>
      <c r="T278">
        <v>0</v>
      </c>
      <c r="U278" s="144"/>
    </row>
    <row r="279" spans="1:21">
      <c r="A279">
        <v>277</v>
      </c>
      <c r="B279" t="s">
        <v>565</v>
      </c>
      <c r="C279" t="s">
        <v>534</v>
      </c>
      <c r="D279" t="s">
        <v>1301</v>
      </c>
      <c r="E279" t="s">
        <v>468</v>
      </c>
      <c r="F279" t="s">
        <v>26</v>
      </c>
      <c r="G279" t="s">
        <v>129</v>
      </c>
      <c r="H279" t="s">
        <v>138</v>
      </c>
      <c r="I279">
        <v>1970</v>
      </c>
      <c r="J279" t="s">
        <v>40</v>
      </c>
      <c r="K279" t="s">
        <v>91</v>
      </c>
      <c r="M279" t="s">
        <v>91</v>
      </c>
      <c r="N279">
        <v>1</v>
      </c>
      <c r="O279">
        <v>0</v>
      </c>
      <c r="P279" t="s">
        <v>91</v>
      </c>
      <c r="Q279">
        <v>1</v>
      </c>
      <c r="R279" t="s">
        <v>1302</v>
      </c>
      <c r="S279" t="s">
        <v>91</v>
      </c>
      <c r="T279" t="s">
        <v>91</v>
      </c>
      <c r="U279" s="144"/>
    </row>
    <row r="280" spans="1:21">
      <c r="A280">
        <v>278</v>
      </c>
      <c r="B280" t="s">
        <v>565</v>
      </c>
      <c r="C280" t="s">
        <v>537</v>
      </c>
      <c r="D280" t="s">
        <v>1305</v>
      </c>
      <c r="E280" t="s">
        <v>468</v>
      </c>
      <c r="F280" t="s">
        <v>26</v>
      </c>
      <c r="G280" t="s">
        <v>129</v>
      </c>
      <c r="H280" t="s">
        <v>133</v>
      </c>
      <c r="I280">
        <v>1989</v>
      </c>
      <c r="J280" t="s">
        <v>40</v>
      </c>
      <c r="K280" t="s">
        <v>91</v>
      </c>
      <c r="M280" t="s">
        <v>91</v>
      </c>
      <c r="N280">
        <v>1</v>
      </c>
      <c r="O280">
        <v>0</v>
      </c>
      <c r="P280" t="s">
        <v>91</v>
      </c>
      <c r="Q280">
        <v>1</v>
      </c>
      <c r="R280" t="s">
        <v>947</v>
      </c>
      <c r="S280" t="s">
        <v>91</v>
      </c>
      <c r="T280" t="s">
        <v>91</v>
      </c>
      <c r="U280" s="144"/>
    </row>
    <row r="281" spans="1:21">
      <c r="A281">
        <v>279</v>
      </c>
      <c r="B281" t="s">
        <v>565</v>
      </c>
      <c r="C281" t="s">
        <v>538</v>
      </c>
      <c r="D281" t="s">
        <v>1306</v>
      </c>
      <c r="E281" t="s">
        <v>468</v>
      </c>
      <c r="F281" t="s">
        <v>26</v>
      </c>
      <c r="G281" t="s">
        <v>129</v>
      </c>
      <c r="H281" t="s">
        <v>137</v>
      </c>
      <c r="I281">
        <v>1980</v>
      </c>
      <c r="J281" t="s">
        <v>40</v>
      </c>
      <c r="K281" t="s">
        <v>91</v>
      </c>
      <c r="M281" t="s">
        <v>91</v>
      </c>
      <c r="N281">
        <v>1</v>
      </c>
      <c r="O281">
        <v>0</v>
      </c>
      <c r="P281" t="s">
        <v>91</v>
      </c>
      <c r="Q281">
        <v>1</v>
      </c>
      <c r="R281" t="s">
        <v>977</v>
      </c>
      <c r="S281" t="s">
        <v>91</v>
      </c>
      <c r="T281">
        <v>0</v>
      </c>
      <c r="U281" s="144"/>
    </row>
    <row r="282" spans="1:21">
      <c r="A282">
        <v>280</v>
      </c>
      <c r="B282" t="s">
        <v>565</v>
      </c>
      <c r="C282" t="s">
        <v>539</v>
      </c>
      <c r="D282" t="s">
        <v>1307</v>
      </c>
      <c r="E282" t="s">
        <v>468</v>
      </c>
      <c r="F282" t="s">
        <v>26</v>
      </c>
      <c r="G282" t="s">
        <v>129</v>
      </c>
      <c r="H282" t="s">
        <v>136</v>
      </c>
      <c r="I282">
        <v>1980</v>
      </c>
      <c r="J282" t="s">
        <v>40</v>
      </c>
      <c r="K282" t="s">
        <v>91</v>
      </c>
      <c r="M282" t="s">
        <v>139</v>
      </c>
      <c r="N282">
        <v>0</v>
      </c>
      <c r="O282">
        <v>0</v>
      </c>
      <c r="P282" t="s">
        <v>91</v>
      </c>
      <c r="Q282">
        <v>1</v>
      </c>
      <c r="R282" t="s">
        <v>947</v>
      </c>
      <c r="S282" t="s">
        <v>139</v>
      </c>
      <c r="T282" t="s">
        <v>91</v>
      </c>
      <c r="U282" s="144"/>
    </row>
    <row r="283" spans="1:21">
      <c r="A283">
        <v>281</v>
      </c>
      <c r="B283" t="s">
        <v>565</v>
      </c>
      <c r="C283" t="s">
        <v>540</v>
      </c>
      <c r="D283" t="s">
        <v>1308</v>
      </c>
      <c r="E283" t="s">
        <v>468</v>
      </c>
      <c r="F283" t="s">
        <v>26</v>
      </c>
      <c r="G283" t="s">
        <v>129</v>
      </c>
      <c r="H283" t="s">
        <v>568</v>
      </c>
      <c r="I283">
        <v>1996</v>
      </c>
      <c r="J283" t="s">
        <v>40</v>
      </c>
      <c r="K283" t="s">
        <v>139</v>
      </c>
      <c r="M283" t="s">
        <v>139</v>
      </c>
      <c r="N283">
        <v>0</v>
      </c>
      <c r="O283">
        <v>0</v>
      </c>
      <c r="P283" t="s">
        <v>91</v>
      </c>
      <c r="Q283">
        <v>1</v>
      </c>
      <c r="R283" t="s">
        <v>947</v>
      </c>
      <c r="S283" t="s">
        <v>91</v>
      </c>
      <c r="T283">
        <v>0</v>
      </c>
      <c r="U283" s="144"/>
    </row>
    <row r="284" spans="1:21">
      <c r="A284">
        <v>282</v>
      </c>
      <c r="B284" t="s">
        <v>565</v>
      </c>
      <c r="C284" t="s">
        <v>541</v>
      </c>
      <c r="D284" t="s">
        <v>1309</v>
      </c>
      <c r="E284" t="s">
        <v>468</v>
      </c>
      <c r="F284" t="s">
        <v>26</v>
      </c>
      <c r="G284" t="s">
        <v>129</v>
      </c>
      <c r="H284" t="s">
        <v>129</v>
      </c>
      <c r="I284">
        <v>1979</v>
      </c>
      <c r="J284" t="s">
        <v>39</v>
      </c>
      <c r="K284" t="s">
        <v>139</v>
      </c>
      <c r="M284" t="s">
        <v>91</v>
      </c>
      <c r="N284">
        <v>1</v>
      </c>
      <c r="O284">
        <v>0</v>
      </c>
      <c r="P284" t="s">
        <v>91</v>
      </c>
      <c r="Q284">
        <v>1</v>
      </c>
      <c r="R284" t="s">
        <v>977</v>
      </c>
      <c r="S284" t="s">
        <v>91</v>
      </c>
      <c r="T284">
        <v>0</v>
      </c>
      <c r="U284" s="144"/>
    </row>
    <row r="285" spans="1:21">
      <c r="A285">
        <v>283</v>
      </c>
      <c r="B285" t="s">
        <v>565</v>
      </c>
      <c r="C285" t="s">
        <v>544</v>
      </c>
      <c r="D285" t="s">
        <v>1312</v>
      </c>
      <c r="E285" t="s">
        <v>468</v>
      </c>
      <c r="F285" t="s">
        <v>26</v>
      </c>
      <c r="G285" t="s">
        <v>129</v>
      </c>
      <c r="H285" t="s">
        <v>129</v>
      </c>
      <c r="I285">
        <v>2014</v>
      </c>
      <c r="J285" t="s">
        <v>39</v>
      </c>
      <c r="K285" t="s">
        <v>91</v>
      </c>
      <c r="M285" t="s">
        <v>139</v>
      </c>
      <c r="N285">
        <v>0</v>
      </c>
      <c r="O285">
        <v>0</v>
      </c>
      <c r="P285" t="s">
        <v>139</v>
      </c>
      <c r="Q285">
        <v>0</v>
      </c>
      <c r="R285" t="s">
        <v>947</v>
      </c>
      <c r="S285" t="s">
        <v>91</v>
      </c>
      <c r="T285" t="s">
        <v>91</v>
      </c>
      <c r="U285" s="144"/>
    </row>
    <row r="286" spans="1:21">
      <c r="A286">
        <v>284</v>
      </c>
      <c r="B286" t="s">
        <v>565</v>
      </c>
      <c r="C286" t="s">
        <v>546</v>
      </c>
      <c r="D286" t="s">
        <v>1314</v>
      </c>
      <c r="E286" t="s">
        <v>468</v>
      </c>
      <c r="F286" t="s">
        <v>26</v>
      </c>
      <c r="G286" t="s">
        <v>129</v>
      </c>
      <c r="H286" t="s">
        <v>129</v>
      </c>
      <c r="I286">
        <v>1982</v>
      </c>
      <c r="J286" t="s">
        <v>39</v>
      </c>
      <c r="K286" t="s">
        <v>139</v>
      </c>
      <c r="M286" t="s">
        <v>91</v>
      </c>
      <c r="N286">
        <v>1</v>
      </c>
      <c r="O286">
        <v>0</v>
      </c>
      <c r="P286" t="s">
        <v>91</v>
      </c>
      <c r="Q286">
        <v>1</v>
      </c>
      <c r="R286" t="s">
        <v>947</v>
      </c>
      <c r="S286" t="s">
        <v>91</v>
      </c>
      <c r="T286">
        <v>0</v>
      </c>
      <c r="U286" s="144"/>
    </row>
    <row r="287" spans="1:21">
      <c r="A287">
        <v>285</v>
      </c>
      <c r="B287" t="s">
        <v>565</v>
      </c>
      <c r="C287" t="s">
        <v>547</v>
      </c>
      <c r="D287" t="s">
        <v>1315</v>
      </c>
      <c r="E287" t="s">
        <v>468</v>
      </c>
      <c r="F287" t="s">
        <v>26</v>
      </c>
      <c r="G287" t="s">
        <v>129</v>
      </c>
      <c r="H287" t="s">
        <v>129</v>
      </c>
      <c r="I287">
        <v>2002</v>
      </c>
      <c r="J287" t="s">
        <v>40</v>
      </c>
      <c r="K287" t="s">
        <v>139</v>
      </c>
      <c r="M287" t="s">
        <v>139</v>
      </c>
      <c r="N287">
        <v>0</v>
      </c>
      <c r="O287">
        <v>0</v>
      </c>
      <c r="P287" t="s">
        <v>91</v>
      </c>
      <c r="Q287">
        <v>1</v>
      </c>
      <c r="R287" t="s">
        <v>947</v>
      </c>
      <c r="S287" t="s">
        <v>91</v>
      </c>
      <c r="T287">
        <v>0</v>
      </c>
      <c r="U287" s="144"/>
    </row>
    <row r="288" spans="1:21">
      <c r="A288">
        <v>286</v>
      </c>
      <c r="B288" t="s">
        <v>565</v>
      </c>
      <c r="C288" t="s">
        <v>548</v>
      </c>
      <c r="D288" t="s">
        <v>1316</v>
      </c>
      <c r="E288" t="s">
        <v>468</v>
      </c>
      <c r="F288" t="s">
        <v>26</v>
      </c>
      <c r="G288" t="s">
        <v>129</v>
      </c>
      <c r="H288" t="s">
        <v>129</v>
      </c>
      <c r="I288">
        <v>1981</v>
      </c>
      <c r="J288" t="s">
        <v>39</v>
      </c>
      <c r="K288" t="s">
        <v>139</v>
      </c>
      <c r="M288" t="s">
        <v>91</v>
      </c>
      <c r="N288">
        <v>1</v>
      </c>
      <c r="O288">
        <v>0</v>
      </c>
      <c r="P288" t="s">
        <v>91</v>
      </c>
      <c r="Q288">
        <v>1</v>
      </c>
      <c r="R288" t="s">
        <v>977</v>
      </c>
      <c r="S288" t="s">
        <v>91</v>
      </c>
      <c r="T288" t="s">
        <v>91</v>
      </c>
      <c r="U288" s="144"/>
    </row>
    <row r="289" spans="1:21">
      <c r="A289">
        <v>287</v>
      </c>
      <c r="B289" t="s">
        <v>565</v>
      </c>
      <c r="C289" t="s">
        <v>549</v>
      </c>
      <c r="D289" t="s">
        <v>1317</v>
      </c>
      <c r="E289" t="s">
        <v>468</v>
      </c>
      <c r="F289" t="s">
        <v>26</v>
      </c>
      <c r="G289" t="s">
        <v>129</v>
      </c>
      <c r="H289" t="s">
        <v>129</v>
      </c>
      <c r="I289">
        <v>1979</v>
      </c>
      <c r="J289" t="s">
        <v>39</v>
      </c>
      <c r="K289" t="s">
        <v>139</v>
      </c>
      <c r="M289" t="s">
        <v>91</v>
      </c>
      <c r="N289">
        <v>1</v>
      </c>
      <c r="O289">
        <v>0</v>
      </c>
      <c r="P289" t="s">
        <v>91</v>
      </c>
      <c r="Q289">
        <v>1</v>
      </c>
      <c r="R289" t="s">
        <v>947</v>
      </c>
      <c r="S289" t="s">
        <v>91</v>
      </c>
      <c r="T289">
        <v>0</v>
      </c>
      <c r="U289" s="144"/>
    </row>
    <row r="290" spans="1:21">
      <c r="A290">
        <v>288</v>
      </c>
      <c r="B290" t="s">
        <v>565</v>
      </c>
      <c r="C290" t="s">
        <v>550</v>
      </c>
      <c r="D290" t="s">
        <v>1319</v>
      </c>
      <c r="E290" t="s">
        <v>468</v>
      </c>
      <c r="F290" t="s">
        <v>26</v>
      </c>
      <c r="G290" t="s">
        <v>129</v>
      </c>
      <c r="H290" t="s">
        <v>129</v>
      </c>
      <c r="J290" t="s">
        <v>40</v>
      </c>
      <c r="K290" t="s">
        <v>91</v>
      </c>
      <c r="M290" t="s">
        <v>91</v>
      </c>
      <c r="N290">
        <v>1</v>
      </c>
      <c r="O290">
        <v>0</v>
      </c>
      <c r="P290" t="s">
        <v>91</v>
      </c>
      <c r="Q290">
        <v>1</v>
      </c>
      <c r="R290" t="s">
        <v>947</v>
      </c>
      <c r="S290" t="s">
        <v>91</v>
      </c>
      <c r="T290">
        <v>0</v>
      </c>
      <c r="U290" s="144"/>
    </row>
    <row r="291" spans="1:21">
      <c r="A291">
        <v>289</v>
      </c>
      <c r="B291" t="s">
        <v>565</v>
      </c>
      <c r="C291" t="s">
        <v>551</v>
      </c>
      <c r="D291" t="s">
        <v>1320</v>
      </c>
      <c r="E291" t="s">
        <v>468</v>
      </c>
      <c r="F291" t="s">
        <v>26</v>
      </c>
      <c r="G291" t="s">
        <v>129</v>
      </c>
      <c r="H291" t="s">
        <v>129</v>
      </c>
      <c r="I291">
        <v>2014</v>
      </c>
      <c r="J291" t="s">
        <v>39</v>
      </c>
      <c r="K291" t="s">
        <v>91</v>
      </c>
      <c r="M291" t="s">
        <v>139</v>
      </c>
      <c r="N291">
        <v>0</v>
      </c>
      <c r="O291">
        <v>0</v>
      </c>
      <c r="P291" t="s">
        <v>139</v>
      </c>
      <c r="Q291">
        <v>0</v>
      </c>
      <c r="R291" t="s">
        <v>947</v>
      </c>
      <c r="S291" t="s">
        <v>91</v>
      </c>
      <c r="T291" t="s">
        <v>139</v>
      </c>
      <c r="U291" s="144"/>
    </row>
    <row r="292" spans="1:21">
      <c r="A292">
        <v>290</v>
      </c>
      <c r="B292" t="s">
        <v>565</v>
      </c>
      <c r="C292" t="s">
        <v>552</v>
      </c>
      <c r="D292" t="s">
        <v>1321</v>
      </c>
      <c r="E292" t="s">
        <v>468</v>
      </c>
      <c r="F292" t="s">
        <v>26</v>
      </c>
      <c r="G292" t="s">
        <v>129</v>
      </c>
      <c r="H292" t="s">
        <v>578</v>
      </c>
      <c r="I292">
        <v>1981</v>
      </c>
      <c r="J292" t="s">
        <v>40</v>
      </c>
      <c r="K292" t="s">
        <v>91</v>
      </c>
      <c r="M292" t="s">
        <v>91</v>
      </c>
      <c r="N292">
        <v>1</v>
      </c>
      <c r="O292">
        <v>0</v>
      </c>
      <c r="P292" t="s">
        <v>91</v>
      </c>
      <c r="Q292">
        <v>1</v>
      </c>
      <c r="R292" t="s">
        <v>947</v>
      </c>
      <c r="S292" t="s">
        <v>91</v>
      </c>
      <c r="T292" t="s">
        <v>91</v>
      </c>
      <c r="U292" s="144"/>
    </row>
    <row r="293" spans="1:21">
      <c r="A293">
        <v>291</v>
      </c>
      <c r="B293" t="s">
        <v>565</v>
      </c>
      <c r="C293" t="s">
        <v>557</v>
      </c>
      <c r="D293">
        <v>9180023</v>
      </c>
      <c r="E293" t="s">
        <v>468</v>
      </c>
      <c r="F293" t="s">
        <v>26</v>
      </c>
      <c r="G293" t="s">
        <v>129</v>
      </c>
      <c r="H293" t="s">
        <v>580</v>
      </c>
      <c r="I293">
        <v>1990</v>
      </c>
      <c r="J293" t="s">
        <v>40</v>
      </c>
      <c r="K293" t="s">
        <v>91</v>
      </c>
      <c r="M293" t="s">
        <v>91</v>
      </c>
      <c r="N293">
        <v>1</v>
      </c>
      <c r="O293">
        <v>0</v>
      </c>
      <c r="P293" t="s">
        <v>91</v>
      </c>
      <c r="Q293">
        <v>1</v>
      </c>
      <c r="R293" t="s">
        <v>947</v>
      </c>
      <c r="S293" t="s">
        <v>91</v>
      </c>
      <c r="T293" t="s">
        <v>139</v>
      </c>
      <c r="U293" s="144"/>
    </row>
    <row r="294" spans="1:21">
      <c r="A294">
        <v>292</v>
      </c>
      <c r="B294" t="s">
        <v>565</v>
      </c>
      <c r="C294" t="s">
        <v>559</v>
      </c>
      <c r="D294" t="s">
        <v>1328</v>
      </c>
      <c r="E294" t="s">
        <v>468</v>
      </c>
      <c r="F294" t="s">
        <v>26</v>
      </c>
      <c r="G294" t="s">
        <v>129</v>
      </c>
      <c r="H294" t="s">
        <v>581</v>
      </c>
      <c r="I294">
        <v>1955</v>
      </c>
      <c r="J294" t="s">
        <v>40</v>
      </c>
      <c r="K294" t="s">
        <v>91</v>
      </c>
      <c r="M294" t="s">
        <v>91</v>
      </c>
      <c r="N294">
        <v>1</v>
      </c>
      <c r="O294">
        <v>0</v>
      </c>
      <c r="P294" t="s">
        <v>91</v>
      </c>
      <c r="Q294">
        <v>1</v>
      </c>
      <c r="R294" t="s">
        <v>947</v>
      </c>
      <c r="S294" t="s">
        <v>91</v>
      </c>
      <c r="T294">
        <v>0</v>
      </c>
      <c r="U294" s="144"/>
    </row>
    <row r="295" spans="1:21">
      <c r="A295">
        <v>293</v>
      </c>
      <c r="B295" t="s">
        <v>565</v>
      </c>
      <c r="C295" t="s">
        <v>561</v>
      </c>
      <c r="D295" t="s">
        <v>1330</v>
      </c>
      <c r="E295" t="s">
        <v>468</v>
      </c>
      <c r="F295" t="s">
        <v>26</v>
      </c>
      <c r="G295" t="s">
        <v>129</v>
      </c>
      <c r="H295" t="s">
        <v>572</v>
      </c>
      <c r="I295">
        <v>1998</v>
      </c>
      <c r="J295" t="s">
        <v>39</v>
      </c>
      <c r="K295" t="s">
        <v>91</v>
      </c>
      <c r="M295" t="s">
        <v>91</v>
      </c>
      <c r="N295">
        <v>1</v>
      </c>
      <c r="O295">
        <v>0</v>
      </c>
      <c r="P295" t="s">
        <v>91</v>
      </c>
      <c r="Q295">
        <v>1</v>
      </c>
      <c r="R295" t="s">
        <v>947</v>
      </c>
      <c r="S295" t="s">
        <v>139</v>
      </c>
      <c r="T295" t="s">
        <v>91</v>
      </c>
      <c r="U295" s="144"/>
    </row>
    <row r="296" spans="1:21">
      <c r="A296">
        <v>294</v>
      </c>
      <c r="B296" t="s">
        <v>565</v>
      </c>
      <c r="C296" t="s">
        <v>563</v>
      </c>
      <c r="D296" t="s">
        <v>1332</v>
      </c>
      <c r="E296" t="s">
        <v>468</v>
      </c>
      <c r="F296" t="s">
        <v>26</v>
      </c>
      <c r="G296" t="s">
        <v>129</v>
      </c>
      <c r="H296" t="s">
        <v>573</v>
      </c>
      <c r="J296" t="s">
        <v>40</v>
      </c>
      <c r="K296" t="s">
        <v>91</v>
      </c>
      <c r="M296" t="s">
        <v>139</v>
      </c>
      <c r="N296">
        <v>0</v>
      </c>
      <c r="O296">
        <v>0</v>
      </c>
      <c r="P296" t="s">
        <v>91</v>
      </c>
      <c r="Q296">
        <v>1</v>
      </c>
      <c r="R296" t="s">
        <v>977</v>
      </c>
      <c r="S296" t="s">
        <v>139</v>
      </c>
      <c r="T296" t="s">
        <v>91</v>
      </c>
      <c r="U296" s="144"/>
    </row>
    <row r="297" spans="1:21">
      <c r="A297">
        <v>295</v>
      </c>
      <c r="B297" t="s">
        <v>565</v>
      </c>
      <c r="C297" t="s">
        <v>535</v>
      </c>
      <c r="D297" t="s">
        <v>1303</v>
      </c>
      <c r="E297" t="s">
        <v>468</v>
      </c>
      <c r="F297" t="s">
        <v>26</v>
      </c>
      <c r="G297" t="s">
        <v>131</v>
      </c>
      <c r="H297" t="s">
        <v>135</v>
      </c>
      <c r="I297">
        <v>1920</v>
      </c>
      <c r="J297" t="s">
        <v>40</v>
      </c>
      <c r="K297" t="s">
        <v>91</v>
      </c>
      <c r="M297" t="s">
        <v>91</v>
      </c>
      <c r="N297">
        <v>1</v>
      </c>
      <c r="O297">
        <v>0</v>
      </c>
      <c r="P297" t="s">
        <v>91</v>
      </c>
      <c r="Q297">
        <v>1</v>
      </c>
      <c r="R297" t="s">
        <v>947</v>
      </c>
      <c r="S297" t="s">
        <v>91</v>
      </c>
      <c r="T297" t="s">
        <v>91</v>
      </c>
      <c r="U297" s="144"/>
    </row>
    <row r="298" spans="1:21">
      <c r="A298">
        <v>296</v>
      </c>
      <c r="B298" t="s">
        <v>565</v>
      </c>
      <c r="C298" t="s">
        <v>536</v>
      </c>
      <c r="D298" t="s">
        <v>1304</v>
      </c>
      <c r="E298" t="s">
        <v>468</v>
      </c>
      <c r="F298" t="s">
        <v>26</v>
      </c>
      <c r="G298" t="s">
        <v>131</v>
      </c>
      <c r="H298" t="s">
        <v>132</v>
      </c>
      <c r="I298">
        <v>1989</v>
      </c>
      <c r="J298" t="s">
        <v>39</v>
      </c>
      <c r="K298" t="s">
        <v>91</v>
      </c>
      <c r="M298" t="s">
        <v>139</v>
      </c>
      <c r="N298">
        <v>0</v>
      </c>
      <c r="O298">
        <v>0</v>
      </c>
      <c r="P298" t="s">
        <v>139</v>
      </c>
      <c r="Q298">
        <v>0</v>
      </c>
      <c r="R298" t="s">
        <v>947</v>
      </c>
      <c r="S298" t="s">
        <v>91</v>
      </c>
      <c r="T298" t="s">
        <v>91</v>
      </c>
      <c r="U298" s="144"/>
    </row>
    <row r="299" spans="1:21">
      <c r="A299">
        <v>297</v>
      </c>
      <c r="B299" t="s">
        <v>565</v>
      </c>
      <c r="C299" t="s">
        <v>542</v>
      </c>
      <c r="D299" t="s">
        <v>1310</v>
      </c>
      <c r="E299" t="s">
        <v>468</v>
      </c>
      <c r="F299" t="s">
        <v>26</v>
      </c>
      <c r="G299" t="s">
        <v>131</v>
      </c>
      <c r="H299" t="s">
        <v>135</v>
      </c>
      <c r="I299">
        <v>1981</v>
      </c>
      <c r="J299" t="s">
        <v>39</v>
      </c>
      <c r="K299" t="s">
        <v>91</v>
      </c>
      <c r="M299" t="s">
        <v>139</v>
      </c>
      <c r="N299">
        <v>0</v>
      </c>
      <c r="O299">
        <v>0</v>
      </c>
      <c r="P299" t="s">
        <v>139</v>
      </c>
      <c r="Q299">
        <v>0</v>
      </c>
      <c r="R299" t="s">
        <v>947</v>
      </c>
      <c r="S299" t="s">
        <v>91</v>
      </c>
      <c r="T299" t="s">
        <v>91</v>
      </c>
      <c r="U299" s="144"/>
    </row>
    <row r="300" spans="1:21">
      <c r="A300">
        <v>298</v>
      </c>
      <c r="B300" t="s">
        <v>565</v>
      </c>
      <c r="C300" t="s">
        <v>545</v>
      </c>
      <c r="D300" t="s">
        <v>1313</v>
      </c>
      <c r="E300" t="s">
        <v>468</v>
      </c>
      <c r="F300" t="s">
        <v>26</v>
      </c>
      <c r="G300" t="s">
        <v>131</v>
      </c>
      <c r="H300" t="s">
        <v>135</v>
      </c>
      <c r="I300">
        <v>1981</v>
      </c>
      <c r="J300" t="s">
        <v>39</v>
      </c>
      <c r="K300" t="s">
        <v>91</v>
      </c>
      <c r="M300" t="s">
        <v>139</v>
      </c>
      <c r="N300">
        <v>0</v>
      </c>
      <c r="O300">
        <v>0</v>
      </c>
      <c r="P300" t="s">
        <v>139</v>
      </c>
      <c r="Q300">
        <v>0</v>
      </c>
      <c r="R300" t="s">
        <v>947</v>
      </c>
      <c r="S300" t="s">
        <v>91</v>
      </c>
      <c r="T300" t="s">
        <v>91</v>
      </c>
      <c r="U300" s="144"/>
    </row>
    <row r="301" spans="1:21">
      <c r="A301">
        <v>299</v>
      </c>
      <c r="B301" t="s">
        <v>565</v>
      </c>
      <c r="C301" t="s">
        <v>553</v>
      </c>
      <c r="D301" t="s">
        <v>1322</v>
      </c>
      <c r="E301" t="s">
        <v>468</v>
      </c>
      <c r="F301" t="s">
        <v>26</v>
      </c>
      <c r="G301" t="s">
        <v>131</v>
      </c>
      <c r="H301" t="s">
        <v>579</v>
      </c>
      <c r="I301">
        <v>1971</v>
      </c>
      <c r="J301" t="s">
        <v>40</v>
      </c>
      <c r="K301" t="s">
        <v>91</v>
      </c>
      <c r="U301" s="144"/>
    </row>
    <row r="302" spans="1:21">
      <c r="A302">
        <v>300</v>
      </c>
      <c r="B302" t="s">
        <v>565</v>
      </c>
      <c r="C302" t="s">
        <v>554</v>
      </c>
      <c r="D302" t="s">
        <v>1323</v>
      </c>
      <c r="E302" t="s">
        <v>468</v>
      </c>
      <c r="F302" t="s">
        <v>26</v>
      </c>
      <c r="G302" t="s">
        <v>131</v>
      </c>
      <c r="H302" t="s">
        <v>567</v>
      </c>
      <c r="J302" t="s">
        <v>40</v>
      </c>
      <c r="K302" t="s">
        <v>91</v>
      </c>
      <c r="M302" t="s">
        <v>91</v>
      </c>
      <c r="N302">
        <v>1</v>
      </c>
      <c r="O302">
        <v>0</v>
      </c>
      <c r="P302" t="s">
        <v>91</v>
      </c>
      <c r="Q302">
        <v>1</v>
      </c>
      <c r="R302" t="s">
        <v>947</v>
      </c>
      <c r="S302" t="s">
        <v>91</v>
      </c>
      <c r="T302" t="s">
        <v>91</v>
      </c>
      <c r="U302" s="144"/>
    </row>
    <row r="303" spans="1:21">
      <c r="A303">
        <v>301</v>
      </c>
      <c r="B303" t="s">
        <v>565</v>
      </c>
      <c r="C303" t="s">
        <v>555</v>
      </c>
      <c r="D303" t="s">
        <v>1324</v>
      </c>
      <c r="E303" t="s">
        <v>468</v>
      </c>
      <c r="F303" t="s">
        <v>26</v>
      </c>
      <c r="G303" t="s">
        <v>131</v>
      </c>
      <c r="H303" t="s">
        <v>575</v>
      </c>
      <c r="I303">
        <v>1986</v>
      </c>
      <c r="J303" t="s">
        <v>40</v>
      </c>
      <c r="K303" t="s">
        <v>91</v>
      </c>
      <c r="M303" t="s">
        <v>1325</v>
      </c>
      <c r="N303">
        <v>0</v>
      </c>
      <c r="O303">
        <v>0</v>
      </c>
      <c r="P303" t="s">
        <v>91</v>
      </c>
      <c r="Q303">
        <v>1</v>
      </c>
      <c r="R303" t="s">
        <v>977</v>
      </c>
      <c r="S303" t="s">
        <v>91</v>
      </c>
      <c r="T303" t="s">
        <v>91</v>
      </c>
      <c r="U303" s="144"/>
    </row>
    <row r="304" spans="1:21">
      <c r="A304">
        <v>302</v>
      </c>
      <c r="B304" t="s">
        <v>565</v>
      </c>
      <c r="C304" t="s">
        <v>556</v>
      </c>
      <c r="D304" t="s">
        <v>1326</v>
      </c>
      <c r="E304" t="s">
        <v>468</v>
      </c>
      <c r="F304" t="s">
        <v>26</v>
      </c>
      <c r="G304" t="s">
        <v>131</v>
      </c>
      <c r="H304" t="s">
        <v>576</v>
      </c>
      <c r="J304" t="s">
        <v>40</v>
      </c>
      <c r="K304" t="s">
        <v>91</v>
      </c>
      <c r="U304" s="144"/>
    </row>
    <row r="305" spans="1:21">
      <c r="A305">
        <v>303</v>
      </c>
      <c r="B305" t="s">
        <v>565</v>
      </c>
      <c r="C305" t="s">
        <v>560</v>
      </c>
      <c r="D305" t="s">
        <v>1329</v>
      </c>
      <c r="E305" t="s">
        <v>468</v>
      </c>
      <c r="F305" t="s">
        <v>26</v>
      </c>
      <c r="G305" t="s">
        <v>131</v>
      </c>
      <c r="H305" t="s">
        <v>134</v>
      </c>
      <c r="I305">
        <v>1988</v>
      </c>
      <c r="J305" t="s">
        <v>39</v>
      </c>
      <c r="K305" t="s">
        <v>91</v>
      </c>
      <c r="M305" t="s">
        <v>91</v>
      </c>
      <c r="N305">
        <v>1</v>
      </c>
      <c r="O305">
        <v>0</v>
      </c>
      <c r="P305" t="s">
        <v>91</v>
      </c>
      <c r="Q305">
        <v>1</v>
      </c>
      <c r="R305" t="s">
        <v>947</v>
      </c>
      <c r="S305" t="s">
        <v>91</v>
      </c>
      <c r="T305" t="s">
        <v>91</v>
      </c>
      <c r="U305" s="144"/>
    </row>
    <row r="306" spans="1:21">
      <c r="A306">
        <v>304</v>
      </c>
      <c r="B306" t="s">
        <v>565</v>
      </c>
      <c r="C306" t="s">
        <v>564</v>
      </c>
      <c r="D306" t="s">
        <v>1333</v>
      </c>
      <c r="E306" t="s">
        <v>468</v>
      </c>
      <c r="F306" t="s">
        <v>26</v>
      </c>
      <c r="G306" t="s">
        <v>131</v>
      </c>
      <c r="H306" t="s">
        <v>577</v>
      </c>
      <c r="J306" t="s">
        <v>40</v>
      </c>
      <c r="K306" t="s">
        <v>91</v>
      </c>
      <c r="M306" t="s">
        <v>139</v>
      </c>
      <c r="N306">
        <v>0</v>
      </c>
      <c r="O306">
        <v>0</v>
      </c>
      <c r="P306" t="s">
        <v>91</v>
      </c>
      <c r="Q306">
        <v>1</v>
      </c>
      <c r="R306" t="s">
        <v>947</v>
      </c>
      <c r="S306" t="s">
        <v>139</v>
      </c>
      <c r="T306" t="s">
        <v>91</v>
      </c>
      <c r="U306" s="144"/>
    </row>
    <row r="307" spans="1:21">
      <c r="A307">
        <v>305</v>
      </c>
      <c r="B307" t="s">
        <v>565</v>
      </c>
      <c r="C307" t="s">
        <v>530</v>
      </c>
      <c r="D307" t="s">
        <v>1297</v>
      </c>
      <c r="E307" t="s">
        <v>468</v>
      </c>
      <c r="F307" t="s">
        <v>26</v>
      </c>
      <c r="G307" t="s">
        <v>130</v>
      </c>
      <c r="H307" t="s">
        <v>574</v>
      </c>
      <c r="I307">
        <v>1960</v>
      </c>
      <c r="J307" t="s">
        <v>40</v>
      </c>
      <c r="K307" t="s">
        <v>91</v>
      </c>
      <c r="M307" t="s">
        <v>91</v>
      </c>
      <c r="N307">
        <v>1</v>
      </c>
      <c r="O307">
        <v>0</v>
      </c>
      <c r="P307" t="s">
        <v>91</v>
      </c>
      <c r="Q307">
        <v>1</v>
      </c>
      <c r="R307" t="s">
        <v>977</v>
      </c>
      <c r="S307" t="s">
        <v>91</v>
      </c>
      <c r="T307" t="s">
        <v>139</v>
      </c>
      <c r="U307" s="144"/>
    </row>
    <row r="308" spans="1:21">
      <c r="A308">
        <v>306</v>
      </c>
      <c r="B308" t="s">
        <v>565</v>
      </c>
      <c r="C308" t="s">
        <v>532</v>
      </c>
      <c r="D308" t="s">
        <v>1299</v>
      </c>
      <c r="E308" t="s">
        <v>468</v>
      </c>
      <c r="F308" t="s">
        <v>26</v>
      </c>
      <c r="G308" t="s">
        <v>130</v>
      </c>
      <c r="H308" t="s">
        <v>130</v>
      </c>
      <c r="J308" t="s">
        <v>40</v>
      </c>
      <c r="K308" t="s">
        <v>91</v>
      </c>
      <c r="M308" t="s">
        <v>91</v>
      </c>
      <c r="N308">
        <v>1</v>
      </c>
      <c r="O308">
        <v>0</v>
      </c>
      <c r="P308" t="s">
        <v>91</v>
      </c>
      <c r="Q308">
        <v>1</v>
      </c>
      <c r="R308" t="s">
        <v>947</v>
      </c>
      <c r="S308" t="s">
        <v>91</v>
      </c>
      <c r="T308" t="s">
        <v>91</v>
      </c>
      <c r="U308" s="144"/>
    </row>
    <row r="309" spans="1:21">
      <c r="A309">
        <v>307</v>
      </c>
      <c r="B309" t="s">
        <v>565</v>
      </c>
      <c r="C309" t="s">
        <v>543</v>
      </c>
      <c r="D309" t="s">
        <v>1311</v>
      </c>
      <c r="E309" t="s">
        <v>468</v>
      </c>
      <c r="F309" t="s">
        <v>26</v>
      </c>
      <c r="G309" t="s">
        <v>130</v>
      </c>
      <c r="H309" t="s">
        <v>130</v>
      </c>
      <c r="I309">
        <v>1923</v>
      </c>
      <c r="J309" t="s">
        <v>40</v>
      </c>
      <c r="K309" t="s">
        <v>91</v>
      </c>
      <c r="M309" t="s">
        <v>91</v>
      </c>
      <c r="N309">
        <v>1</v>
      </c>
      <c r="O309">
        <v>0</v>
      </c>
      <c r="P309" t="s">
        <v>91</v>
      </c>
      <c r="Q309">
        <v>1</v>
      </c>
      <c r="R309" t="s">
        <v>947</v>
      </c>
      <c r="S309" t="s">
        <v>139</v>
      </c>
      <c r="T309" t="s">
        <v>139</v>
      </c>
      <c r="U309" s="144"/>
    </row>
    <row r="310" spans="1:21">
      <c r="A310">
        <v>308</v>
      </c>
      <c r="B310" t="s">
        <v>565</v>
      </c>
      <c r="C310" t="s">
        <v>558</v>
      </c>
      <c r="D310" t="s">
        <v>1327</v>
      </c>
      <c r="E310" t="s">
        <v>468</v>
      </c>
      <c r="F310" t="s">
        <v>26</v>
      </c>
      <c r="G310" t="s">
        <v>130</v>
      </c>
      <c r="H310" t="s">
        <v>570</v>
      </c>
      <c r="I310">
        <v>1956</v>
      </c>
      <c r="J310" t="s">
        <v>40</v>
      </c>
      <c r="K310" t="s">
        <v>91</v>
      </c>
      <c r="M310" t="s">
        <v>91</v>
      </c>
      <c r="N310">
        <v>1</v>
      </c>
      <c r="O310">
        <v>0</v>
      </c>
      <c r="P310" t="s">
        <v>91</v>
      </c>
      <c r="Q310">
        <v>1</v>
      </c>
      <c r="R310" t="s">
        <v>947</v>
      </c>
      <c r="S310" t="s">
        <v>139</v>
      </c>
      <c r="T310" t="s">
        <v>139</v>
      </c>
      <c r="U310" s="144"/>
    </row>
    <row r="311" spans="1:21">
      <c r="A311">
        <v>309</v>
      </c>
      <c r="B311" t="s">
        <v>565</v>
      </c>
      <c r="C311" t="s">
        <v>562</v>
      </c>
      <c r="D311" t="s">
        <v>1331</v>
      </c>
      <c r="E311" t="s">
        <v>468</v>
      </c>
      <c r="F311" t="s">
        <v>26</v>
      </c>
      <c r="G311" t="s">
        <v>130</v>
      </c>
      <c r="H311" t="s">
        <v>566</v>
      </c>
      <c r="J311" t="s">
        <v>40</v>
      </c>
      <c r="K311" t="s">
        <v>91</v>
      </c>
      <c r="M311" t="s">
        <v>91</v>
      </c>
      <c r="N311">
        <v>1</v>
      </c>
      <c r="O311">
        <v>0</v>
      </c>
      <c r="P311" t="s">
        <v>91</v>
      </c>
      <c r="Q311">
        <v>1</v>
      </c>
      <c r="R311" t="s">
        <v>947</v>
      </c>
      <c r="S311" t="s">
        <v>139</v>
      </c>
      <c r="T311" t="s">
        <v>139</v>
      </c>
      <c r="U311" s="144"/>
    </row>
    <row r="312" spans="1:21">
      <c r="A312">
        <v>310</v>
      </c>
      <c r="B312" t="s">
        <v>453</v>
      </c>
      <c r="C312" t="s">
        <v>425</v>
      </c>
      <c r="D312" t="s">
        <v>1385</v>
      </c>
      <c r="E312" t="s">
        <v>467</v>
      </c>
      <c r="F312" t="s">
        <v>27</v>
      </c>
      <c r="G312" t="s">
        <v>226</v>
      </c>
      <c r="H312" t="s">
        <v>500</v>
      </c>
      <c r="I312">
        <v>1946</v>
      </c>
      <c r="J312" t="s">
        <v>40</v>
      </c>
      <c r="K312" t="s">
        <v>91</v>
      </c>
      <c r="M312" t="s">
        <v>139</v>
      </c>
      <c r="N312">
        <v>0</v>
      </c>
      <c r="O312">
        <v>0</v>
      </c>
      <c r="P312" t="s">
        <v>91</v>
      </c>
      <c r="Q312">
        <v>1</v>
      </c>
      <c r="R312" t="s">
        <v>977</v>
      </c>
      <c r="S312" t="s">
        <v>139</v>
      </c>
      <c r="T312" t="s">
        <v>139</v>
      </c>
      <c r="U312" s="144"/>
    </row>
    <row r="313" spans="1:21">
      <c r="A313">
        <v>311</v>
      </c>
      <c r="B313" t="s">
        <v>453</v>
      </c>
      <c r="C313" t="s">
        <v>461</v>
      </c>
      <c r="E313" t="s">
        <v>467</v>
      </c>
      <c r="F313" t="s">
        <v>27</v>
      </c>
      <c r="G313" t="s">
        <v>226</v>
      </c>
      <c r="H313" t="s">
        <v>484</v>
      </c>
      <c r="I313">
        <v>1976</v>
      </c>
      <c r="J313" t="s">
        <v>40</v>
      </c>
      <c r="K313" t="s">
        <v>91</v>
      </c>
      <c r="U313" s="144"/>
    </row>
    <row r="314" spans="1:21">
      <c r="A314">
        <v>312</v>
      </c>
      <c r="B314" t="s">
        <v>453</v>
      </c>
      <c r="C314" t="s">
        <v>462</v>
      </c>
      <c r="E314" t="s">
        <v>467</v>
      </c>
      <c r="F314" t="s">
        <v>27</v>
      </c>
      <c r="G314" t="s">
        <v>226</v>
      </c>
      <c r="H314" t="s">
        <v>487</v>
      </c>
      <c r="I314">
        <v>1960</v>
      </c>
      <c r="J314" t="s">
        <v>40</v>
      </c>
      <c r="K314" t="s">
        <v>91</v>
      </c>
      <c r="U314" s="144"/>
    </row>
    <row r="315" spans="1:21">
      <c r="A315">
        <v>313</v>
      </c>
      <c r="B315" t="s">
        <v>453</v>
      </c>
      <c r="C315" t="s">
        <v>449</v>
      </c>
      <c r="D315" t="s">
        <v>1409</v>
      </c>
      <c r="E315" t="s">
        <v>467</v>
      </c>
      <c r="F315" t="s">
        <v>27</v>
      </c>
      <c r="G315" t="s">
        <v>226</v>
      </c>
      <c r="H315" t="s">
        <v>232</v>
      </c>
      <c r="I315">
        <v>1953</v>
      </c>
      <c r="J315" t="s">
        <v>40</v>
      </c>
      <c r="K315" t="s">
        <v>91</v>
      </c>
      <c r="M315" t="s">
        <v>139</v>
      </c>
      <c r="N315">
        <v>0</v>
      </c>
      <c r="O315">
        <v>0</v>
      </c>
      <c r="P315" t="s">
        <v>91</v>
      </c>
      <c r="Q315">
        <v>1</v>
      </c>
      <c r="R315" t="s">
        <v>977</v>
      </c>
      <c r="S315" t="s">
        <v>139</v>
      </c>
      <c r="T315" t="s">
        <v>91</v>
      </c>
      <c r="U315" s="144"/>
    </row>
    <row r="316" spans="1:21">
      <c r="A316">
        <v>314</v>
      </c>
      <c r="B316" t="s">
        <v>453</v>
      </c>
      <c r="C316" t="s">
        <v>415</v>
      </c>
      <c r="D316" t="s">
        <v>1378</v>
      </c>
      <c r="E316" t="s">
        <v>467</v>
      </c>
      <c r="F316" t="s">
        <v>27</v>
      </c>
      <c r="G316" t="s">
        <v>329</v>
      </c>
      <c r="H316" t="s">
        <v>470</v>
      </c>
      <c r="I316">
        <v>1989</v>
      </c>
      <c r="J316" t="s">
        <v>39</v>
      </c>
      <c r="K316" t="s">
        <v>91</v>
      </c>
      <c r="M316" t="s">
        <v>91</v>
      </c>
      <c r="N316">
        <v>1</v>
      </c>
      <c r="O316">
        <v>0</v>
      </c>
      <c r="P316" t="s">
        <v>91</v>
      </c>
      <c r="Q316">
        <v>1</v>
      </c>
      <c r="R316" t="s">
        <v>947</v>
      </c>
      <c r="S316" t="s">
        <v>91</v>
      </c>
      <c r="T316" t="s">
        <v>91</v>
      </c>
      <c r="U316" s="144"/>
    </row>
    <row r="317" spans="1:21">
      <c r="A317">
        <v>315</v>
      </c>
      <c r="B317" t="s">
        <v>453</v>
      </c>
      <c r="C317" t="s">
        <v>426</v>
      </c>
      <c r="D317" t="s">
        <v>1386</v>
      </c>
      <c r="E317" t="s">
        <v>467</v>
      </c>
      <c r="F317" t="s">
        <v>27</v>
      </c>
      <c r="G317" t="s">
        <v>329</v>
      </c>
      <c r="H317" t="s">
        <v>476</v>
      </c>
      <c r="J317" t="s">
        <v>39</v>
      </c>
      <c r="K317" t="s">
        <v>91</v>
      </c>
      <c r="M317" t="s">
        <v>139</v>
      </c>
      <c r="N317">
        <v>0</v>
      </c>
      <c r="O317">
        <v>0</v>
      </c>
      <c r="P317" t="s">
        <v>91</v>
      </c>
      <c r="Q317">
        <v>1</v>
      </c>
      <c r="R317" t="s">
        <v>947</v>
      </c>
      <c r="S317" t="s">
        <v>91</v>
      </c>
      <c r="T317" t="s">
        <v>91</v>
      </c>
      <c r="U317" s="144"/>
    </row>
    <row r="318" spans="1:21">
      <c r="A318">
        <v>316</v>
      </c>
      <c r="B318" t="s">
        <v>453</v>
      </c>
      <c r="C318" t="s">
        <v>428</v>
      </c>
      <c r="D318" t="s">
        <v>1384</v>
      </c>
      <c r="E318" t="s">
        <v>467</v>
      </c>
      <c r="F318" t="s">
        <v>27</v>
      </c>
      <c r="G318" t="s">
        <v>329</v>
      </c>
      <c r="H318" t="s">
        <v>478</v>
      </c>
      <c r="I318">
        <v>1991</v>
      </c>
      <c r="J318" t="s">
        <v>40</v>
      </c>
      <c r="K318" t="s">
        <v>91</v>
      </c>
      <c r="M318" t="s">
        <v>91</v>
      </c>
      <c r="N318">
        <v>1</v>
      </c>
      <c r="O318">
        <v>0</v>
      </c>
      <c r="P318" t="s">
        <v>91</v>
      </c>
      <c r="Q318">
        <v>1</v>
      </c>
      <c r="R318" t="s">
        <v>947</v>
      </c>
      <c r="S318" t="s">
        <v>91</v>
      </c>
      <c r="T318" t="s">
        <v>91</v>
      </c>
      <c r="U318" s="144"/>
    </row>
    <row r="319" spans="1:21">
      <c r="A319">
        <v>317</v>
      </c>
      <c r="B319" t="s">
        <v>453</v>
      </c>
      <c r="C319" t="s">
        <v>431</v>
      </c>
      <c r="D319" t="s">
        <v>1387</v>
      </c>
      <c r="E319" t="s">
        <v>467</v>
      </c>
      <c r="F319" t="s">
        <v>27</v>
      </c>
      <c r="G319" t="s">
        <v>329</v>
      </c>
      <c r="H319" t="s">
        <v>501</v>
      </c>
      <c r="I319">
        <v>1952</v>
      </c>
      <c r="J319" t="s">
        <v>40</v>
      </c>
      <c r="K319" t="s">
        <v>91</v>
      </c>
      <c r="M319" t="s">
        <v>91</v>
      </c>
      <c r="N319">
        <v>1</v>
      </c>
      <c r="O319">
        <v>0</v>
      </c>
      <c r="P319" t="s">
        <v>91</v>
      </c>
      <c r="Q319">
        <v>1</v>
      </c>
      <c r="R319" t="s">
        <v>977</v>
      </c>
      <c r="S319" t="s">
        <v>139</v>
      </c>
      <c r="T319" t="s">
        <v>139</v>
      </c>
      <c r="U319" s="144"/>
    </row>
    <row r="320" spans="1:21">
      <c r="A320">
        <v>318</v>
      </c>
      <c r="B320" t="s">
        <v>453</v>
      </c>
      <c r="C320" t="s">
        <v>443</v>
      </c>
      <c r="D320" t="s">
        <v>1400</v>
      </c>
      <c r="E320" t="s">
        <v>467</v>
      </c>
      <c r="F320" t="s">
        <v>27</v>
      </c>
      <c r="G320" t="s">
        <v>329</v>
      </c>
      <c r="H320" t="s">
        <v>503</v>
      </c>
      <c r="I320">
        <v>1951</v>
      </c>
      <c r="J320" t="s">
        <v>40</v>
      </c>
      <c r="K320" t="s">
        <v>91</v>
      </c>
      <c r="M320" t="s">
        <v>139</v>
      </c>
      <c r="N320">
        <v>0</v>
      </c>
      <c r="O320">
        <v>0</v>
      </c>
      <c r="P320" t="s">
        <v>91</v>
      </c>
      <c r="Q320">
        <v>1</v>
      </c>
      <c r="R320" t="s">
        <v>947</v>
      </c>
      <c r="S320" t="s">
        <v>91</v>
      </c>
      <c r="T320">
        <v>0</v>
      </c>
      <c r="U320" s="144"/>
    </row>
    <row r="321" spans="1:21">
      <c r="A321">
        <v>319</v>
      </c>
      <c r="B321" t="s">
        <v>453</v>
      </c>
      <c r="C321" t="s">
        <v>448</v>
      </c>
      <c r="D321" t="s">
        <v>1408</v>
      </c>
      <c r="E321" t="s">
        <v>467</v>
      </c>
      <c r="F321" t="s">
        <v>27</v>
      </c>
      <c r="G321" t="s">
        <v>329</v>
      </c>
      <c r="H321" t="s">
        <v>504</v>
      </c>
      <c r="I321">
        <v>1946</v>
      </c>
      <c r="J321" t="s">
        <v>40</v>
      </c>
      <c r="K321" t="s">
        <v>91</v>
      </c>
      <c r="U321" s="144"/>
    </row>
    <row r="322" spans="1:21">
      <c r="A322">
        <v>320</v>
      </c>
      <c r="B322" t="s">
        <v>453</v>
      </c>
      <c r="C322" t="s">
        <v>830</v>
      </c>
      <c r="D322" t="s">
        <v>1383</v>
      </c>
      <c r="E322" t="s">
        <v>467</v>
      </c>
      <c r="F322" t="s">
        <v>27</v>
      </c>
      <c r="G322" t="s">
        <v>335</v>
      </c>
      <c r="H322" t="s">
        <v>490</v>
      </c>
      <c r="M322" t="s">
        <v>139</v>
      </c>
      <c r="N322">
        <v>0</v>
      </c>
      <c r="O322">
        <v>0</v>
      </c>
      <c r="P322" t="s">
        <v>91</v>
      </c>
      <c r="Q322">
        <v>1</v>
      </c>
      <c r="R322" t="s">
        <v>947</v>
      </c>
      <c r="S322" t="s">
        <v>139</v>
      </c>
      <c r="T322">
        <v>0</v>
      </c>
      <c r="U322" s="144"/>
    </row>
    <row r="323" spans="1:21">
      <c r="A323">
        <v>321</v>
      </c>
      <c r="B323" t="s">
        <v>453</v>
      </c>
      <c r="C323" t="s">
        <v>440</v>
      </c>
      <c r="D323" t="s">
        <v>1397</v>
      </c>
      <c r="E323" t="s">
        <v>467</v>
      </c>
      <c r="F323" t="s">
        <v>27</v>
      </c>
      <c r="G323" t="s">
        <v>335</v>
      </c>
      <c r="H323" t="s">
        <v>485</v>
      </c>
      <c r="I323">
        <v>2007</v>
      </c>
      <c r="J323" t="s">
        <v>40</v>
      </c>
      <c r="K323" t="s">
        <v>91</v>
      </c>
      <c r="M323" t="s">
        <v>139</v>
      </c>
      <c r="N323">
        <v>0</v>
      </c>
      <c r="O323">
        <v>0</v>
      </c>
      <c r="P323" t="s">
        <v>91</v>
      </c>
      <c r="Q323">
        <v>1</v>
      </c>
      <c r="R323" t="s">
        <v>947</v>
      </c>
      <c r="S323" t="s">
        <v>91</v>
      </c>
      <c r="T323" t="s">
        <v>91</v>
      </c>
      <c r="U323" s="144"/>
    </row>
    <row r="324" spans="1:21">
      <c r="A324">
        <v>322</v>
      </c>
      <c r="B324" t="s">
        <v>453</v>
      </c>
      <c r="C324" t="s">
        <v>444</v>
      </c>
      <c r="D324" t="s">
        <v>1401</v>
      </c>
      <c r="E324" t="s">
        <v>467</v>
      </c>
      <c r="F324" t="s">
        <v>27</v>
      </c>
      <c r="G324" t="s">
        <v>335</v>
      </c>
      <c r="H324" t="s">
        <v>369</v>
      </c>
      <c r="I324">
        <v>1897</v>
      </c>
      <c r="J324" t="s">
        <v>40</v>
      </c>
      <c r="K324" t="s">
        <v>91</v>
      </c>
      <c r="M324" t="s">
        <v>91</v>
      </c>
      <c r="N324">
        <v>1</v>
      </c>
      <c r="O324">
        <v>0</v>
      </c>
      <c r="P324" t="s">
        <v>91</v>
      </c>
      <c r="Q324">
        <v>1</v>
      </c>
      <c r="R324" t="s">
        <v>947</v>
      </c>
      <c r="S324" t="s">
        <v>139</v>
      </c>
      <c r="T324" t="s">
        <v>91</v>
      </c>
      <c r="U324" s="144"/>
    </row>
    <row r="325" spans="1:21">
      <c r="A325">
        <v>323</v>
      </c>
      <c r="B325" t="s">
        <v>453</v>
      </c>
      <c r="C325" t="s">
        <v>463</v>
      </c>
      <c r="E325" t="s">
        <v>467</v>
      </c>
      <c r="F325" t="s">
        <v>27</v>
      </c>
      <c r="G325" t="s">
        <v>335</v>
      </c>
      <c r="H325" t="s">
        <v>489</v>
      </c>
      <c r="I325">
        <v>1932</v>
      </c>
      <c r="J325" t="s">
        <v>40</v>
      </c>
      <c r="K325" t="s">
        <v>91</v>
      </c>
      <c r="U325" s="144"/>
    </row>
    <row r="326" spans="1:21">
      <c r="A326">
        <v>324</v>
      </c>
      <c r="B326" t="s">
        <v>453</v>
      </c>
      <c r="C326" t="s">
        <v>408</v>
      </c>
      <c r="D326" t="s">
        <v>1346</v>
      </c>
      <c r="E326" t="s">
        <v>467</v>
      </c>
      <c r="F326" t="s">
        <v>27</v>
      </c>
      <c r="G326" t="s">
        <v>228</v>
      </c>
      <c r="H326" t="s">
        <v>236</v>
      </c>
      <c r="I326">
        <v>2008</v>
      </c>
      <c r="J326" t="s">
        <v>39</v>
      </c>
      <c r="K326" t="s">
        <v>91</v>
      </c>
      <c r="M326" t="s">
        <v>139</v>
      </c>
      <c r="N326">
        <v>0</v>
      </c>
      <c r="O326">
        <v>0</v>
      </c>
      <c r="P326" t="s">
        <v>91</v>
      </c>
      <c r="Q326">
        <v>1</v>
      </c>
      <c r="R326" t="s">
        <v>977</v>
      </c>
      <c r="S326" t="s">
        <v>91</v>
      </c>
      <c r="T326" t="s">
        <v>91</v>
      </c>
      <c r="U326" s="144"/>
    </row>
    <row r="327" spans="1:21">
      <c r="A327">
        <v>325</v>
      </c>
      <c r="B327" t="s">
        <v>453</v>
      </c>
      <c r="C327" t="s">
        <v>409</v>
      </c>
      <c r="D327" t="s">
        <v>1359</v>
      </c>
      <c r="E327" t="s">
        <v>467</v>
      </c>
      <c r="F327" t="s">
        <v>27</v>
      </c>
      <c r="G327" t="s">
        <v>228</v>
      </c>
      <c r="H327" t="s">
        <v>236</v>
      </c>
      <c r="I327">
        <v>1989</v>
      </c>
      <c r="J327" t="s">
        <v>39</v>
      </c>
      <c r="K327" t="s">
        <v>91</v>
      </c>
      <c r="M327" t="s">
        <v>139</v>
      </c>
      <c r="N327">
        <v>0</v>
      </c>
      <c r="O327">
        <v>0</v>
      </c>
      <c r="P327" t="s">
        <v>91</v>
      </c>
      <c r="Q327">
        <v>1</v>
      </c>
      <c r="R327" t="s">
        <v>1046</v>
      </c>
      <c r="S327" t="s">
        <v>91</v>
      </c>
      <c r="T327" t="s">
        <v>139</v>
      </c>
      <c r="U327" s="144"/>
    </row>
    <row r="328" spans="1:21">
      <c r="A328">
        <v>326</v>
      </c>
      <c r="B328" t="s">
        <v>453</v>
      </c>
      <c r="C328" t="s">
        <v>417</v>
      </c>
      <c r="D328" t="s">
        <v>1380</v>
      </c>
      <c r="E328" t="s">
        <v>467</v>
      </c>
      <c r="F328" t="s">
        <v>27</v>
      </c>
      <c r="G328" t="s">
        <v>228</v>
      </c>
      <c r="H328" t="s">
        <v>497</v>
      </c>
      <c r="I328">
        <v>1955</v>
      </c>
      <c r="J328" t="s">
        <v>40</v>
      </c>
      <c r="K328" t="s">
        <v>91</v>
      </c>
      <c r="M328" t="s">
        <v>91</v>
      </c>
      <c r="N328">
        <v>1</v>
      </c>
      <c r="O328">
        <v>0</v>
      </c>
      <c r="P328" t="s">
        <v>91</v>
      </c>
      <c r="Q328">
        <v>1</v>
      </c>
      <c r="R328" t="s">
        <v>1046</v>
      </c>
      <c r="S328" t="s">
        <v>91</v>
      </c>
      <c r="T328" t="s">
        <v>91</v>
      </c>
      <c r="U328" s="144" t="s">
        <v>39</v>
      </c>
    </row>
    <row r="329" spans="1:21">
      <c r="A329">
        <v>327</v>
      </c>
      <c r="B329" t="s">
        <v>453</v>
      </c>
      <c r="C329" t="s">
        <v>421</v>
      </c>
      <c r="D329" t="s">
        <v>1385</v>
      </c>
      <c r="E329" t="s">
        <v>467</v>
      </c>
      <c r="F329" t="s">
        <v>27</v>
      </c>
      <c r="G329" t="s">
        <v>228</v>
      </c>
      <c r="H329" t="s">
        <v>474</v>
      </c>
      <c r="I329">
        <v>1994</v>
      </c>
      <c r="J329" t="s">
        <v>39</v>
      </c>
      <c r="K329" t="s">
        <v>91</v>
      </c>
      <c r="M329" t="s">
        <v>139</v>
      </c>
      <c r="N329">
        <v>0</v>
      </c>
      <c r="O329">
        <v>0</v>
      </c>
      <c r="P329" t="s">
        <v>91</v>
      </c>
      <c r="Q329">
        <v>1</v>
      </c>
      <c r="R329" t="s">
        <v>977</v>
      </c>
      <c r="S329" t="s">
        <v>139</v>
      </c>
      <c r="T329" t="s">
        <v>139</v>
      </c>
      <c r="U329" s="144"/>
    </row>
    <row r="330" spans="1:21">
      <c r="A330">
        <v>328</v>
      </c>
      <c r="B330" t="s">
        <v>453</v>
      </c>
      <c r="C330" t="s">
        <v>422</v>
      </c>
      <c r="D330" t="s">
        <v>1386</v>
      </c>
      <c r="E330" t="s">
        <v>467</v>
      </c>
      <c r="F330" t="s">
        <v>27</v>
      </c>
      <c r="G330" t="s">
        <v>228</v>
      </c>
      <c r="H330" t="s">
        <v>491</v>
      </c>
      <c r="I330">
        <v>1937</v>
      </c>
      <c r="J330" t="s">
        <v>40</v>
      </c>
      <c r="K330" t="s">
        <v>91</v>
      </c>
      <c r="M330" t="s">
        <v>139</v>
      </c>
      <c r="N330">
        <v>0</v>
      </c>
      <c r="O330">
        <v>0</v>
      </c>
      <c r="P330" t="s">
        <v>91</v>
      </c>
      <c r="Q330">
        <v>1</v>
      </c>
      <c r="R330" t="s">
        <v>947</v>
      </c>
      <c r="S330" t="s">
        <v>91</v>
      </c>
      <c r="T330" t="s">
        <v>91</v>
      </c>
      <c r="U330" s="144"/>
    </row>
    <row r="331" spans="1:21">
      <c r="A331">
        <v>329</v>
      </c>
      <c r="B331" t="s">
        <v>453</v>
      </c>
      <c r="C331" t="s">
        <v>427</v>
      </c>
      <c r="D331" s="145">
        <v>9200360</v>
      </c>
      <c r="E331" t="s">
        <v>467</v>
      </c>
      <c r="F331" t="s">
        <v>27</v>
      </c>
      <c r="G331" t="s">
        <v>228</v>
      </c>
      <c r="H331" t="s">
        <v>228</v>
      </c>
      <c r="I331">
        <v>1948</v>
      </c>
      <c r="J331" t="s">
        <v>40</v>
      </c>
      <c r="K331" t="s">
        <v>91</v>
      </c>
      <c r="M331" t="s">
        <v>139</v>
      </c>
      <c r="N331">
        <v>0</v>
      </c>
      <c r="O331">
        <v>0</v>
      </c>
      <c r="P331" t="s">
        <v>91</v>
      </c>
      <c r="Q331">
        <v>1</v>
      </c>
      <c r="R331" t="s">
        <v>947</v>
      </c>
      <c r="S331" t="s">
        <v>139</v>
      </c>
      <c r="T331">
        <v>0</v>
      </c>
      <c r="U331" s="144"/>
    </row>
    <row r="332" spans="1:21">
      <c r="A332">
        <v>330</v>
      </c>
      <c r="B332" t="s">
        <v>453</v>
      </c>
      <c r="C332" t="s">
        <v>458</v>
      </c>
      <c r="E332" t="s">
        <v>467</v>
      </c>
      <c r="F332" t="s">
        <v>27</v>
      </c>
      <c r="G332" t="s">
        <v>228</v>
      </c>
      <c r="H332" t="s">
        <v>477</v>
      </c>
      <c r="J332" t="s">
        <v>40</v>
      </c>
      <c r="K332" t="s">
        <v>91</v>
      </c>
      <c r="U332" s="144"/>
    </row>
    <row r="333" spans="1:21">
      <c r="A333">
        <v>331</v>
      </c>
      <c r="B333" t="s">
        <v>453</v>
      </c>
      <c r="C333" t="s">
        <v>433</v>
      </c>
      <c r="D333" t="s">
        <v>1389</v>
      </c>
      <c r="E333" t="s">
        <v>467</v>
      </c>
      <c r="F333" t="s">
        <v>27</v>
      </c>
      <c r="G333" t="s">
        <v>228</v>
      </c>
      <c r="H333" t="s">
        <v>481</v>
      </c>
      <c r="I333">
        <v>1932</v>
      </c>
      <c r="J333" t="s">
        <v>40</v>
      </c>
      <c r="K333" t="s">
        <v>91</v>
      </c>
      <c r="M333" t="s">
        <v>91</v>
      </c>
      <c r="N333">
        <v>1</v>
      </c>
      <c r="O333">
        <v>0</v>
      </c>
      <c r="P333" t="s">
        <v>91</v>
      </c>
      <c r="Q333">
        <v>1</v>
      </c>
      <c r="R333" t="s">
        <v>947</v>
      </c>
      <c r="S333" t="s">
        <v>91</v>
      </c>
      <c r="T333" t="s">
        <v>91</v>
      </c>
      <c r="U333" s="144"/>
    </row>
    <row r="334" spans="1:21">
      <c r="A334">
        <v>332</v>
      </c>
      <c r="B334" t="s">
        <v>453</v>
      </c>
      <c r="C334" t="s">
        <v>437</v>
      </c>
      <c r="D334" t="s">
        <v>1394</v>
      </c>
      <c r="E334" t="s">
        <v>467</v>
      </c>
      <c r="F334" t="s">
        <v>27</v>
      </c>
      <c r="G334" t="s">
        <v>228</v>
      </c>
      <c r="H334" t="s">
        <v>241</v>
      </c>
      <c r="I334">
        <v>1983</v>
      </c>
      <c r="J334" t="s">
        <v>39</v>
      </c>
      <c r="K334" t="s">
        <v>91</v>
      </c>
      <c r="M334" t="s">
        <v>91</v>
      </c>
      <c r="N334">
        <v>1</v>
      </c>
      <c r="O334">
        <v>0</v>
      </c>
      <c r="P334" t="s">
        <v>91</v>
      </c>
      <c r="Q334">
        <v>1</v>
      </c>
      <c r="R334" t="s">
        <v>977</v>
      </c>
      <c r="S334" t="s">
        <v>91</v>
      </c>
      <c r="T334" t="s">
        <v>91</v>
      </c>
      <c r="U334" s="144"/>
    </row>
    <row r="335" spans="1:21">
      <c r="A335">
        <v>333</v>
      </c>
      <c r="B335" t="s">
        <v>453</v>
      </c>
      <c r="C335" t="s">
        <v>450</v>
      </c>
      <c r="D335" t="s">
        <v>1410</v>
      </c>
      <c r="E335" t="s">
        <v>467</v>
      </c>
      <c r="F335" t="s">
        <v>27</v>
      </c>
      <c r="G335" t="s">
        <v>228</v>
      </c>
      <c r="H335" t="s">
        <v>488</v>
      </c>
      <c r="I335">
        <v>1986</v>
      </c>
      <c r="J335" t="s">
        <v>39</v>
      </c>
      <c r="K335" t="s">
        <v>91</v>
      </c>
      <c r="M335" t="s">
        <v>91</v>
      </c>
      <c r="N335">
        <v>1</v>
      </c>
      <c r="O335">
        <v>0</v>
      </c>
      <c r="P335" t="s">
        <v>91</v>
      </c>
      <c r="Q335">
        <v>1</v>
      </c>
      <c r="R335" t="s">
        <v>977</v>
      </c>
      <c r="S335" t="s">
        <v>91</v>
      </c>
      <c r="T335" t="s">
        <v>91</v>
      </c>
      <c r="U335" s="144"/>
    </row>
    <row r="336" spans="1:21">
      <c r="A336">
        <v>334</v>
      </c>
      <c r="B336" t="s">
        <v>453</v>
      </c>
      <c r="C336" t="s">
        <v>388</v>
      </c>
      <c r="D336" t="s">
        <v>1334</v>
      </c>
      <c r="E336" t="s">
        <v>467</v>
      </c>
      <c r="F336" t="s">
        <v>27</v>
      </c>
      <c r="G336" t="s">
        <v>224</v>
      </c>
      <c r="H336" t="s">
        <v>27</v>
      </c>
      <c r="I336">
        <v>1973</v>
      </c>
      <c r="J336" t="s">
        <v>39</v>
      </c>
      <c r="K336" t="s">
        <v>91</v>
      </c>
      <c r="M336" t="s">
        <v>1335</v>
      </c>
      <c r="N336">
        <v>1</v>
      </c>
      <c r="O336">
        <v>1</v>
      </c>
      <c r="P336" t="s">
        <v>1336</v>
      </c>
      <c r="Q336">
        <v>0</v>
      </c>
      <c r="R336" t="s">
        <v>999</v>
      </c>
      <c r="S336" t="s">
        <v>91</v>
      </c>
      <c r="T336" t="s">
        <v>139</v>
      </c>
      <c r="U336" s="144"/>
    </row>
    <row r="337" spans="1:21">
      <c r="A337">
        <v>335</v>
      </c>
      <c r="B337" t="s">
        <v>453</v>
      </c>
      <c r="C337" t="s">
        <v>389</v>
      </c>
      <c r="D337" t="s">
        <v>1337</v>
      </c>
      <c r="E337" t="s">
        <v>467</v>
      </c>
      <c r="F337" t="s">
        <v>27</v>
      </c>
      <c r="G337" t="s">
        <v>224</v>
      </c>
      <c r="H337" t="s">
        <v>27</v>
      </c>
      <c r="I337">
        <v>1957</v>
      </c>
      <c r="J337" t="s">
        <v>40</v>
      </c>
      <c r="K337" t="s">
        <v>91</v>
      </c>
      <c r="M337" t="s">
        <v>1338</v>
      </c>
      <c r="N337">
        <v>0</v>
      </c>
      <c r="O337">
        <v>0</v>
      </c>
      <c r="P337" t="s">
        <v>91</v>
      </c>
      <c r="Q337">
        <v>1</v>
      </c>
      <c r="R337" t="s">
        <v>1046</v>
      </c>
      <c r="S337" t="s">
        <v>91</v>
      </c>
      <c r="T337" t="s">
        <v>91</v>
      </c>
      <c r="U337" s="144"/>
    </row>
    <row r="338" spans="1:21">
      <c r="A338">
        <v>336</v>
      </c>
      <c r="B338" t="s">
        <v>453</v>
      </c>
      <c r="C338" t="s">
        <v>390</v>
      </c>
      <c r="D338" t="s">
        <v>1339</v>
      </c>
      <c r="E338" t="s">
        <v>467</v>
      </c>
      <c r="F338" t="s">
        <v>27</v>
      </c>
      <c r="G338" t="s">
        <v>224</v>
      </c>
      <c r="H338" t="s">
        <v>27</v>
      </c>
      <c r="I338">
        <v>1937</v>
      </c>
      <c r="J338" t="s">
        <v>40</v>
      </c>
      <c r="K338" t="s">
        <v>91</v>
      </c>
      <c r="M338" t="s">
        <v>139</v>
      </c>
      <c r="N338">
        <v>0</v>
      </c>
      <c r="O338">
        <v>0</v>
      </c>
      <c r="P338" t="s">
        <v>91</v>
      </c>
      <c r="Q338">
        <v>1</v>
      </c>
      <c r="R338" t="s">
        <v>977</v>
      </c>
      <c r="S338" t="s">
        <v>91</v>
      </c>
      <c r="T338" t="s">
        <v>91</v>
      </c>
      <c r="U338" s="144"/>
    </row>
    <row r="339" spans="1:21">
      <c r="A339">
        <v>337</v>
      </c>
      <c r="B339" t="s">
        <v>453</v>
      </c>
      <c r="C339" t="s">
        <v>391</v>
      </c>
      <c r="D339" t="s">
        <v>1340</v>
      </c>
      <c r="E339" t="s">
        <v>467</v>
      </c>
      <c r="F339" t="s">
        <v>27</v>
      </c>
      <c r="G339" t="s">
        <v>224</v>
      </c>
      <c r="H339" t="s">
        <v>27</v>
      </c>
      <c r="I339">
        <v>1985</v>
      </c>
      <c r="J339" t="s">
        <v>39</v>
      </c>
      <c r="K339" t="s">
        <v>91</v>
      </c>
      <c r="U339" s="144"/>
    </row>
    <row r="340" spans="1:21">
      <c r="A340">
        <v>338</v>
      </c>
      <c r="B340" t="s">
        <v>453</v>
      </c>
      <c r="C340" t="s">
        <v>392</v>
      </c>
      <c r="D340" t="s">
        <v>1341</v>
      </c>
      <c r="E340" t="s">
        <v>467</v>
      </c>
      <c r="F340" t="s">
        <v>27</v>
      </c>
      <c r="G340" t="s">
        <v>224</v>
      </c>
      <c r="H340" t="s">
        <v>27</v>
      </c>
      <c r="I340">
        <v>1930</v>
      </c>
      <c r="J340" t="s">
        <v>40</v>
      </c>
      <c r="K340" t="s">
        <v>91</v>
      </c>
      <c r="M340" t="s">
        <v>91</v>
      </c>
      <c r="N340">
        <v>1</v>
      </c>
      <c r="O340">
        <v>0</v>
      </c>
      <c r="P340" t="s">
        <v>91</v>
      </c>
      <c r="Q340">
        <v>1</v>
      </c>
      <c r="R340" t="s">
        <v>977</v>
      </c>
      <c r="S340" t="s">
        <v>91</v>
      </c>
      <c r="T340" t="s">
        <v>91</v>
      </c>
      <c r="U340" s="144"/>
    </row>
    <row r="341" spans="1:21">
      <c r="A341">
        <v>339</v>
      </c>
      <c r="B341" t="s">
        <v>453</v>
      </c>
      <c r="C341" t="s">
        <v>393</v>
      </c>
      <c r="D341" t="s">
        <v>1342</v>
      </c>
      <c r="E341" t="s">
        <v>467</v>
      </c>
      <c r="F341" t="s">
        <v>27</v>
      </c>
      <c r="G341" t="s">
        <v>224</v>
      </c>
      <c r="H341" t="s">
        <v>27</v>
      </c>
      <c r="I341">
        <v>1970</v>
      </c>
      <c r="J341" t="s">
        <v>40</v>
      </c>
      <c r="K341" t="s">
        <v>91</v>
      </c>
      <c r="M341" t="s">
        <v>91</v>
      </c>
      <c r="N341">
        <v>1</v>
      </c>
      <c r="O341">
        <v>0</v>
      </c>
      <c r="P341" t="s">
        <v>91</v>
      </c>
      <c r="Q341">
        <v>1</v>
      </c>
      <c r="R341" t="s">
        <v>951</v>
      </c>
      <c r="S341" t="s">
        <v>91</v>
      </c>
      <c r="T341" t="s">
        <v>91</v>
      </c>
      <c r="U341" s="144" t="s">
        <v>292</v>
      </c>
    </row>
    <row r="342" spans="1:21">
      <c r="A342">
        <v>340</v>
      </c>
      <c r="B342" t="s">
        <v>453</v>
      </c>
      <c r="C342" t="s">
        <v>394</v>
      </c>
      <c r="D342" t="s">
        <v>1343</v>
      </c>
      <c r="E342" t="s">
        <v>467</v>
      </c>
      <c r="F342" t="s">
        <v>27</v>
      </c>
      <c r="G342" t="s">
        <v>224</v>
      </c>
      <c r="H342" t="s">
        <v>27</v>
      </c>
      <c r="I342">
        <v>1979</v>
      </c>
      <c r="J342" t="s">
        <v>40</v>
      </c>
      <c r="K342" t="s">
        <v>91</v>
      </c>
      <c r="M342" t="s">
        <v>139</v>
      </c>
      <c r="N342">
        <v>0</v>
      </c>
      <c r="O342">
        <v>0</v>
      </c>
      <c r="P342" t="s">
        <v>1344</v>
      </c>
      <c r="Q342">
        <v>0</v>
      </c>
      <c r="R342" t="s">
        <v>947</v>
      </c>
      <c r="S342" t="s">
        <v>91</v>
      </c>
      <c r="T342" t="s">
        <v>139</v>
      </c>
      <c r="U342" s="144"/>
    </row>
    <row r="343" spans="1:21">
      <c r="A343">
        <v>341</v>
      </c>
      <c r="B343" t="s">
        <v>453</v>
      </c>
      <c r="C343" t="s">
        <v>405</v>
      </c>
      <c r="D343" t="s">
        <v>1345</v>
      </c>
      <c r="E343" t="s">
        <v>467</v>
      </c>
      <c r="F343" t="s">
        <v>27</v>
      </c>
      <c r="G343" t="s">
        <v>224</v>
      </c>
      <c r="H343" t="s">
        <v>222</v>
      </c>
      <c r="I343">
        <v>1979</v>
      </c>
      <c r="J343" t="s">
        <v>40</v>
      </c>
      <c r="K343" t="s">
        <v>91</v>
      </c>
      <c r="M343" t="s">
        <v>139</v>
      </c>
      <c r="N343">
        <v>0</v>
      </c>
      <c r="O343">
        <v>0</v>
      </c>
      <c r="P343" t="s">
        <v>91</v>
      </c>
      <c r="Q343">
        <v>1</v>
      </c>
      <c r="R343" t="s">
        <v>947</v>
      </c>
      <c r="S343" t="s">
        <v>91</v>
      </c>
      <c r="T343" t="s">
        <v>91</v>
      </c>
      <c r="U343" s="144" t="s">
        <v>292</v>
      </c>
    </row>
    <row r="344" spans="1:21">
      <c r="A344">
        <v>342</v>
      </c>
      <c r="B344" t="s">
        <v>453</v>
      </c>
      <c r="C344" t="s">
        <v>380</v>
      </c>
      <c r="D344" t="s">
        <v>1347</v>
      </c>
      <c r="E344" t="s">
        <v>467</v>
      </c>
      <c r="F344" t="s">
        <v>27</v>
      </c>
      <c r="G344" t="s">
        <v>224</v>
      </c>
      <c r="H344" t="s">
        <v>27</v>
      </c>
      <c r="I344">
        <v>1925</v>
      </c>
      <c r="J344" t="s">
        <v>40</v>
      </c>
      <c r="K344" t="s">
        <v>91</v>
      </c>
      <c r="M344" t="s">
        <v>91</v>
      </c>
      <c r="N344">
        <v>1</v>
      </c>
      <c r="O344">
        <v>0</v>
      </c>
      <c r="P344" t="s">
        <v>91</v>
      </c>
      <c r="Q344">
        <v>1</v>
      </c>
      <c r="R344" t="s">
        <v>977</v>
      </c>
      <c r="S344" t="s">
        <v>91</v>
      </c>
      <c r="T344">
        <v>0</v>
      </c>
      <c r="U344" s="144"/>
    </row>
    <row r="345" spans="1:21">
      <c r="A345">
        <v>343</v>
      </c>
      <c r="B345" t="s">
        <v>453</v>
      </c>
      <c r="C345" t="s">
        <v>413</v>
      </c>
      <c r="D345" t="s">
        <v>1349</v>
      </c>
      <c r="E345" t="s">
        <v>467</v>
      </c>
      <c r="F345" t="s">
        <v>27</v>
      </c>
      <c r="G345" t="s">
        <v>224</v>
      </c>
      <c r="H345" t="s">
        <v>469</v>
      </c>
      <c r="I345">
        <v>1964</v>
      </c>
      <c r="J345" t="s">
        <v>40</v>
      </c>
      <c r="K345" t="s">
        <v>91</v>
      </c>
      <c r="M345" t="s">
        <v>91</v>
      </c>
      <c r="N345">
        <v>1</v>
      </c>
      <c r="O345">
        <v>0</v>
      </c>
      <c r="P345" t="s">
        <v>91</v>
      </c>
      <c r="Q345">
        <v>1</v>
      </c>
      <c r="R345" t="s">
        <v>947</v>
      </c>
      <c r="S345" t="s">
        <v>91</v>
      </c>
      <c r="T345" t="s">
        <v>91</v>
      </c>
      <c r="U345" s="144"/>
    </row>
    <row r="346" spans="1:21">
      <c r="A346">
        <v>344</v>
      </c>
      <c r="B346" t="s">
        <v>453</v>
      </c>
      <c r="C346" t="s">
        <v>400</v>
      </c>
      <c r="D346" t="s">
        <v>1351</v>
      </c>
      <c r="E346" t="s">
        <v>467</v>
      </c>
      <c r="F346" t="s">
        <v>27</v>
      </c>
      <c r="G346" t="s">
        <v>224</v>
      </c>
      <c r="H346" t="s">
        <v>27</v>
      </c>
      <c r="I346">
        <v>1963</v>
      </c>
      <c r="J346" t="s">
        <v>40</v>
      </c>
      <c r="K346" t="s">
        <v>91</v>
      </c>
      <c r="M346" t="s">
        <v>139</v>
      </c>
      <c r="N346">
        <v>0</v>
      </c>
      <c r="O346">
        <v>0</v>
      </c>
      <c r="P346" t="s">
        <v>139</v>
      </c>
      <c r="Q346">
        <v>0</v>
      </c>
      <c r="R346" t="s">
        <v>951</v>
      </c>
      <c r="S346" t="s">
        <v>91</v>
      </c>
      <c r="T346" t="s">
        <v>91</v>
      </c>
      <c r="U346" s="144"/>
    </row>
    <row r="347" spans="1:21">
      <c r="A347">
        <v>345</v>
      </c>
      <c r="B347" t="s">
        <v>453</v>
      </c>
      <c r="C347" t="s">
        <v>403</v>
      </c>
      <c r="D347" t="s">
        <v>1352</v>
      </c>
      <c r="E347" t="s">
        <v>467</v>
      </c>
      <c r="F347" t="s">
        <v>27</v>
      </c>
      <c r="G347" t="s">
        <v>224</v>
      </c>
      <c r="H347" t="s">
        <v>27</v>
      </c>
      <c r="I347">
        <v>1937</v>
      </c>
      <c r="J347" t="s">
        <v>40</v>
      </c>
      <c r="K347" t="s">
        <v>91</v>
      </c>
      <c r="M347" t="s">
        <v>91</v>
      </c>
      <c r="N347">
        <v>1</v>
      </c>
      <c r="O347">
        <v>0</v>
      </c>
      <c r="P347" t="s">
        <v>91</v>
      </c>
      <c r="Q347">
        <v>1</v>
      </c>
      <c r="R347" t="s">
        <v>947</v>
      </c>
      <c r="S347" t="s">
        <v>91</v>
      </c>
      <c r="T347" t="s">
        <v>139</v>
      </c>
      <c r="U347" s="144"/>
    </row>
    <row r="348" spans="1:21">
      <c r="A348">
        <v>346</v>
      </c>
      <c r="B348" t="s">
        <v>453</v>
      </c>
      <c r="C348" t="s">
        <v>395</v>
      </c>
      <c r="D348" t="s">
        <v>1353</v>
      </c>
      <c r="E348" t="s">
        <v>467</v>
      </c>
      <c r="F348" t="s">
        <v>27</v>
      </c>
      <c r="G348" t="s">
        <v>224</v>
      </c>
      <c r="H348" t="s">
        <v>27</v>
      </c>
      <c r="I348">
        <v>1987</v>
      </c>
      <c r="J348" t="s">
        <v>39</v>
      </c>
      <c r="K348" t="s">
        <v>91</v>
      </c>
      <c r="M348" t="s">
        <v>91</v>
      </c>
      <c r="N348">
        <v>1</v>
      </c>
      <c r="O348">
        <v>0</v>
      </c>
      <c r="P348" t="s">
        <v>139</v>
      </c>
      <c r="Q348">
        <v>0</v>
      </c>
      <c r="R348" t="s">
        <v>947</v>
      </c>
      <c r="S348" t="s">
        <v>91</v>
      </c>
      <c r="T348" t="s">
        <v>91</v>
      </c>
      <c r="U348" s="144"/>
    </row>
    <row r="349" spans="1:21">
      <c r="A349">
        <v>347</v>
      </c>
      <c r="B349" t="s">
        <v>453</v>
      </c>
      <c r="C349" t="s">
        <v>396</v>
      </c>
      <c r="D349" t="s">
        <v>1354</v>
      </c>
      <c r="E349" t="s">
        <v>467</v>
      </c>
      <c r="F349" t="s">
        <v>27</v>
      </c>
      <c r="G349" t="s">
        <v>224</v>
      </c>
      <c r="H349" t="s">
        <v>27</v>
      </c>
      <c r="I349">
        <v>1972</v>
      </c>
      <c r="J349" t="s">
        <v>40</v>
      </c>
      <c r="K349" t="s">
        <v>91</v>
      </c>
      <c r="M349" t="s">
        <v>139</v>
      </c>
      <c r="N349">
        <v>0</v>
      </c>
      <c r="O349">
        <v>0</v>
      </c>
      <c r="P349" t="s">
        <v>91</v>
      </c>
      <c r="Q349">
        <v>1</v>
      </c>
      <c r="R349" t="s">
        <v>1046</v>
      </c>
      <c r="S349" t="s">
        <v>91</v>
      </c>
      <c r="T349" t="s">
        <v>139</v>
      </c>
      <c r="U349" s="144"/>
    </row>
    <row r="350" spans="1:21">
      <c r="A350">
        <v>348</v>
      </c>
      <c r="B350" t="s">
        <v>453</v>
      </c>
      <c r="C350" t="s">
        <v>397</v>
      </c>
      <c r="D350" t="s">
        <v>1355</v>
      </c>
      <c r="E350" t="s">
        <v>467</v>
      </c>
      <c r="F350" t="s">
        <v>27</v>
      </c>
      <c r="G350" t="s">
        <v>224</v>
      </c>
      <c r="H350" t="s">
        <v>27</v>
      </c>
      <c r="I350">
        <v>1986</v>
      </c>
      <c r="J350" t="s">
        <v>39</v>
      </c>
      <c r="K350" t="s">
        <v>91</v>
      </c>
      <c r="M350" t="s">
        <v>139</v>
      </c>
      <c r="N350">
        <v>0</v>
      </c>
      <c r="O350">
        <v>0</v>
      </c>
      <c r="P350" t="s">
        <v>91</v>
      </c>
      <c r="Q350">
        <v>1</v>
      </c>
      <c r="R350" t="s">
        <v>947</v>
      </c>
      <c r="S350" t="s">
        <v>91</v>
      </c>
      <c r="T350" t="s">
        <v>139</v>
      </c>
      <c r="U350" s="144"/>
    </row>
    <row r="351" spans="1:21">
      <c r="A351">
        <v>349</v>
      </c>
      <c r="B351" t="s">
        <v>453</v>
      </c>
      <c r="C351" t="s">
        <v>454</v>
      </c>
      <c r="E351" t="s">
        <v>467</v>
      </c>
      <c r="F351" t="s">
        <v>27</v>
      </c>
      <c r="G351" t="s">
        <v>224</v>
      </c>
      <c r="H351" t="s">
        <v>27</v>
      </c>
      <c r="I351">
        <v>1983</v>
      </c>
      <c r="J351" t="s">
        <v>40</v>
      </c>
      <c r="K351" t="s">
        <v>91</v>
      </c>
      <c r="U351" s="144"/>
    </row>
    <row r="352" spans="1:21">
      <c r="A352">
        <v>350</v>
      </c>
      <c r="B352" t="s">
        <v>453</v>
      </c>
      <c r="C352" t="s">
        <v>398</v>
      </c>
      <c r="D352" t="s">
        <v>1356</v>
      </c>
      <c r="E352" t="s">
        <v>467</v>
      </c>
      <c r="F352" t="s">
        <v>27</v>
      </c>
      <c r="G352" t="s">
        <v>224</v>
      </c>
      <c r="H352" t="s">
        <v>27</v>
      </c>
      <c r="I352">
        <v>1989</v>
      </c>
      <c r="J352" t="s">
        <v>40</v>
      </c>
      <c r="K352" t="s">
        <v>91</v>
      </c>
      <c r="M352" t="s">
        <v>91</v>
      </c>
      <c r="N352">
        <v>1</v>
      </c>
      <c r="O352">
        <v>0</v>
      </c>
      <c r="P352" t="s">
        <v>91</v>
      </c>
      <c r="Q352">
        <v>1</v>
      </c>
      <c r="R352" t="s">
        <v>1028</v>
      </c>
      <c r="S352" t="s">
        <v>91</v>
      </c>
      <c r="T352" t="s">
        <v>139</v>
      </c>
      <c r="U352" s="144"/>
    </row>
    <row r="353" spans="1:21">
      <c r="A353">
        <v>351</v>
      </c>
      <c r="B353" t="s">
        <v>453</v>
      </c>
      <c r="C353" t="s">
        <v>399</v>
      </c>
      <c r="D353" t="s">
        <v>1357</v>
      </c>
      <c r="E353" t="s">
        <v>467</v>
      </c>
      <c r="F353" t="s">
        <v>27</v>
      </c>
      <c r="G353" t="s">
        <v>224</v>
      </c>
      <c r="H353" t="s">
        <v>27</v>
      </c>
      <c r="I353">
        <v>2004</v>
      </c>
      <c r="J353" t="s">
        <v>39</v>
      </c>
      <c r="K353" t="s">
        <v>91</v>
      </c>
      <c r="M353" t="s">
        <v>139</v>
      </c>
      <c r="N353">
        <v>0</v>
      </c>
      <c r="O353">
        <v>0</v>
      </c>
      <c r="P353" t="s">
        <v>139</v>
      </c>
      <c r="Q353">
        <v>0</v>
      </c>
      <c r="R353" t="s">
        <v>1046</v>
      </c>
      <c r="S353" t="s">
        <v>91</v>
      </c>
      <c r="T353" t="s">
        <v>91</v>
      </c>
      <c r="U353" s="144"/>
    </row>
    <row r="354" spans="1:21">
      <c r="A354">
        <v>352</v>
      </c>
      <c r="B354" t="s">
        <v>453</v>
      </c>
      <c r="C354" t="s">
        <v>406</v>
      </c>
      <c r="D354" t="s">
        <v>1358</v>
      </c>
      <c r="E354" t="s">
        <v>467</v>
      </c>
      <c r="F354" t="s">
        <v>27</v>
      </c>
      <c r="G354" t="s">
        <v>224</v>
      </c>
      <c r="H354" t="s">
        <v>222</v>
      </c>
      <c r="I354">
        <v>1994</v>
      </c>
      <c r="J354" t="s">
        <v>40</v>
      </c>
      <c r="K354" t="s">
        <v>91</v>
      </c>
      <c r="M354" t="s">
        <v>139</v>
      </c>
      <c r="N354">
        <v>0</v>
      </c>
      <c r="O354">
        <v>0</v>
      </c>
      <c r="P354" t="s">
        <v>91</v>
      </c>
      <c r="Q354">
        <v>1</v>
      </c>
      <c r="R354" t="s">
        <v>947</v>
      </c>
      <c r="S354" t="s">
        <v>91</v>
      </c>
      <c r="T354" t="s">
        <v>139</v>
      </c>
      <c r="U354" s="144"/>
    </row>
    <row r="355" spans="1:21">
      <c r="A355">
        <v>353</v>
      </c>
      <c r="B355" t="s">
        <v>453</v>
      </c>
      <c r="C355" t="s">
        <v>401</v>
      </c>
      <c r="D355" t="s">
        <v>1361</v>
      </c>
      <c r="E355" t="s">
        <v>467</v>
      </c>
      <c r="F355" t="s">
        <v>27</v>
      </c>
      <c r="G355" t="s">
        <v>224</v>
      </c>
      <c r="H355" t="s">
        <v>27</v>
      </c>
      <c r="J355" t="s">
        <v>39</v>
      </c>
      <c r="K355" t="s">
        <v>91</v>
      </c>
      <c r="M355" t="s">
        <v>91</v>
      </c>
      <c r="N355">
        <v>1</v>
      </c>
      <c r="O355">
        <v>0</v>
      </c>
      <c r="P355" t="s">
        <v>139</v>
      </c>
      <c r="Q355">
        <v>0</v>
      </c>
      <c r="R355" t="s">
        <v>977</v>
      </c>
      <c r="S355" t="s">
        <v>91</v>
      </c>
      <c r="T355" t="s">
        <v>139</v>
      </c>
      <c r="U355" s="144"/>
    </row>
    <row r="356" spans="1:21">
      <c r="A356">
        <v>354</v>
      </c>
      <c r="B356" t="s">
        <v>453</v>
      </c>
      <c r="C356" t="s">
        <v>404</v>
      </c>
      <c r="D356" t="s">
        <v>1362</v>
      </c>
      <c r="E356" t="s">
        <v>467</v>
      </c>
      <c r="F356" t="s">
        <v>27</v>
      </c>
      <c r="G356" t="s">
        <v>224</v>
      </c>
      <c r="H356" t="s">
        <v>27</v>
      </c>
      <c r="I356">
        <v>1937</v>
      </c>
      <c r="J356" t="s">
        <v>40</v>
      </c>
      <c r="K356" t="s">
        <v>91</v>
      </c>
      <c r="M356" t="s">
        <v>91</v>
      </c>
      <c r="N356">
        <v>1</v>
      </c>
      <c r="O356">
        <v>0</v>
      </c>
      <c r="P356" t="s">
        <v>91</v>
      </c>
      <c r="Q356">
        <v>1</v>
      </c>
      <c r="R356" t="s">
        <v>947</v>
      </c>
      <c r="S356" t="s">
        <v>91</v>
      </c>
      <c r="T356">
        <v>0</v>
      </c>
      <c r="U356" s="144"/>
    </row>
    <row r="357" spans="1:21">
      <c r="A357">
        <v>355</v>
      </c>
      <c r="B357" t="s">
        <v>453</v>
      </c>
      <c r="C357" t="s">
        <v>455</v>
      </c>
      <c r="D357" t="s">
        <v>1363</v>
      </c>
      <c r="E357" t="s">
        <v>467</v>
      </c>
      <c r="F357" t="s">
        <v>27</v>
      </c>
      <c r="G357" t="s">
        <v>224</v>
      </c>
      <c r="H357" t="s">
        <v>222</v>
      </c>
      <c r="I357">
        <v>1998</v>
      </c>
      <c r="J357" t="s">
        <v>39</v>
      </c>
      <c r="K357" t="s">
        <v>91</v>
      </c>
      <c r="M357" t="s">
        <v>1364</v>
      </c>
      <c r="N357">
        <v>0</v>
      </c>
      <c r="O357">
        <v>0</v>
      </c>
      <c r="P357" t="s">
        <v>91</v>
      </c>
      <c r="Q357">
        <v>1</v>
      </c>
      <c r="R357" t="s">
        <v>977</v>
      </c>
      <c r="S357" t="s">
        <v>91</v>
      </c>
      <c r="T357" t="s">
        <v>139</v>
      </c>
      <c r="U357" s="144"/>
    </row>
    <row r="358" spans="1:21">
      <c r="A358">
        <v>356</v>
      </c>
      <c r="B358" t="s">
        <v>453</v>
      </c>
      <c r="C358" t="s">
        <v>381</v>
      </c>
      <c r="D358" t="s">
        <v>1365</v>
      </c>
      <c r="E358" t="s">
        <v>467</v>
      </c>
      <c r="F358" t="s">
        <v>27</v>
      </c>
      <c r="G358" t="s">
        <v>224</v>
      </c>
      <c r="H358" t="s">
        <v>27</v>
      </c>
      <c r="I358">
        <v>1976</v>
      </c>
      <c r="J358" t="s">
        <v>40</v>
      </c>
      <c r="K358" t="s">
        <v>91</v>
      </c>
      <c r="M358" t="s">
        <v>91</v>
      </c>
      <c r="N358">
        <v>1</v>
      </c>
      <c r="O358">
        <v>0</v>
      </c>
      <c r="P358" t="s">
        <v>91</v>
      </c>
      <c r="Q358">
        <v>1</v>
      </c>
      <c r="R358" t="s">
        <v>999</v>
      </c>
      <c r="S358" t="s">
        <v>91</v>
      </c>
      <c r="T358" t="s">
        <v>91</v>
      </c>
      <c r="U358" s="144"/>
    </row>
    <row r="359" spans="1:21">
      <c r="A359">
        <v>357</v>
      </c>
      <c r="B359" t="s">
        <v>453</v>
      </c>
      <c r="C359" t="s">
        <v>414</v>
      </c>
      <c r="D359" t="s">
        <v>1368</v>
      </c>
      <c r="E359" t="s">
        <v>467</v>
      </c>
      <c r="F359" t="s">
        <v>27</v>
      </c>
      <c r="G359" t="s">
        <v>224</v>
      </c>
      <c r="H359" t="s">
        <v>469</v>
      </c>
      <c r="I359">
        <v>1986</v>
      </c>
      <c r="J359" t="s">
        <v>39</v>
      </c>
      <c r="K359" t="s">
        <v>91</v>
      </c>
      <c r="M359" t="s">
        <v>139</v>
      </c>
      <c r="N359">
        <v>0</v>
      </c>
      <c r="O359">
        <v>0</v>
      </c>
      <c r="P359" t="s">
        <v>139</v>
      </c>
      <c r="Q359">
        <v>0</v>
      </c>
      <c r="R359" t="s">
        <v>947</v>
      </c>
      <c r="S359" t="s">
        <v>91</v>
      </c>
      <c r="T359" t="s">
        <v>139</v>
      </c>
      <c r="U359" s="144"/>
    </row>
    <row r="360" spans="1:21">
      <c r="A360">
        <v>358</v>
      </c>
      <c r="B360" t="s">
        <v>453</v>
      </c>
      <c r="C360" t="s">
        <v>407</v>
      </c>
      <c r="D360" t="s">
        <v>1369</v>
      </c>
      <c r="E360" t="s">
        <v>467</v>
      </c>
      <c r="F360" t="s">
        <v>27</v>
      </c>
      <c r="G360" t="s">
        <v>224</v>
      </c>
      <c r="H360" t="s">
        <v>222</v>
      </c>
      <c r="I360">
        <v>1970</v>
      </c>
      <c r="J360" t="s">
        <v>40</v>
      </c>
      <c r="K360" t="s">
        <v>91</v>
      </c>
      <c r="M360" t="s">
        <v>91</v>
      </c>
      <c r="N360">
        <v>1</v>
      </c>
      <c r="O360">
        <v>0</v>
      </c>
      <c r="P360" t="s">
        <v>91</v>
      </c>
      <c r="Q360">
        <v>1</v>
      </c>
      <c r="R360" t="s">
        <v>977</v>
      </c>
      <c r="S360" t="s">
        <v>91</v>
      </c>
      <c r="T360" t="s">
        <v>91</v>
      </c>
      <c r="U360" s="144"/>
    </row>
    <row r="361" spans="1:21">
      <c r="A361">
        <v>359</v>
      </c>
      <c r="B361" t="s">
        <v>453</v>
      </c>
      <c r="C361" t="s">
        <v>382</v>
      </c>
      <c r="D361" t="s">
        <v>1370</v>
      </c>
      <c r="E361" t="s">
        <v>467</v>
      </c>
      <c r="F361" t="s">
        <v>27</v>
      </c>
      <c r="G361" t="s">
        <v>224</v>
      </c>
      <c r="H361" t="s">
        <v>27</v>
      </c>
      <c r="I361">
        <v>1957</v>
      </c>
      <c r="J361" t="s">
        <v>39</v>
      </c>
      <c r="K361" t="s">
        <v>91</v>
      </c>
      <c r="M361" t="s">
        <v>1371</v>
      </c>
      <c r="N361">
        <v>1</v>
      </c>
      <c r="O361">
        <v>0</v>
      </c>
      <c r="P361" t="s">
        <v>139</v>
      </c>
      <c r="Q361">
        <v>0</v>
      </c>
      <c r="R361" t="s">
        <v>999</v>
      </c>
      <c r="S361" t="s">
        <v>91</v>
      </c>
      <c r="T361">
        <v>0</v>
      </c>
      <c r="U361" s="144"/>
    </row>
    <row r="362" spans="1:21">
      <c r="A362">
        <v>360</v>
      </c>
      <c r="B362" t="s">
        <v>453</v>
      </c>
      <c r="C362" t="s">
        <v>402</v>
      </c>
      <c r="D362" t="s">
        <v>1372</v>
      </c>
      <c r="E362" t="s">
        <v>467</v>
      </c>
      <c r="F362" t="s">
        <v>27</v>
      </c>
      <c r="G362" t="s">
        <v>224</v>
      </c>
      <c r="H362" t="s">
        <v>27</v>
      </c>
      <c r="I362">
        <v>1937</v>
      </c>
      <c r="J362" t="s">
        <v>40</v>
      </c>
      <c r="K362" t="s">
        <v>91</v>
      </c>
      <c r="M362" t="s">
        <v>139</v>
      </c>
      <c r="N362">
        <v>0</v>
      </c>
      <c r="O362">
        <v>0</v>
      </c>
      <c r="P362" t="s">
        <v>139</v>
      </c>
      <c r="Q362">
        <v>0</v>
      </c>
      <c r="R362" t="s">
        <v>977</v>
      </c>
      <c r="S362" t="s">
        <v>91</v>
      </c>
      <c r="T362" t="s">
        <v>139</v>
      </c>
      <c r="U362" s="144"/>
    </row>
    <row r="363" spans="1:21">
      <c r="A363">
        <v>361</v>
      </c>
      <c r="B363" t="s">
        <v>453</v>
      </c>
      <c r="C363" t="s">
        <v>383</v>
      </c>
      <c r="D363" t="s">
        <v>1373</v>
      </c>
      <c r="E363" t="s">
        <v>467</v>
      </c>
      <c r="F363" t="s">
        <v>27</v>
      </c>
      <c r="G363" t="s">
        <v>224</v>
      </c>
      <c r="H363" t="s">
        <v>27</v>
      </c>
      <c r="J363" t="s">
        <v>40</v>
      </c>
      <c r="K363" t="s">
        <v>139</v>
      </c>
      <c r="M363" t="s">
        <v>91</v>
      </c>
      <c r="N363">
        <v>1</v>
      </c>
      <c r="O363">
        <v>0</v>
      </c>
      <c r="P363" t="s">
        <v>91</v>
      </c>
      <c r="Q363">
        <v>1</v>
      </c>
      <c r="R363" t="s">
        <v>999</v>
      </c>
      <c r="S363" t="s">
        <v>91</v>
      </c>
      <c r="T363" t="s">
        <v>91</v>
      </c>
      <c r="U363" s="144"/>
    </row>
    <row r="364" spans="1:21">
      <c r="A364">
        <v>362</v>
      </c>
      <c r="B364" t="s">
        <v>453</v>
      </c>
      <c r="C364" t="s">
        <v>384</v>
      </c>
      <c r="D364" t="s">
        <v>1374</v>
      </c>
      <c r="E364" t="s">
        <v>467</v>
      </c>
      <c r="F364" t="s">
        <v>27</v>
      </c>
      <c r="G364" t="s">
        <v>224</v>
      </c>
      <c r="H364" t="s">
        <v>27</v>
      </c>
      <c r="I364">
        <v>1980</v>
      </c>
      <c r="J364" t="s">
        <v>40</v>
      </c>
      <c r="K364" t="s">
        <v>91</v>
      </c>
      <c r="M364" t="s">
        <v>139</v>
      </c>
      <c r="N364">
        <v>0</v>
      </c>
      <c r="O364">
        <v>0</v>
      </c>
      <c r="P364" t="s">
        <v>91</v>
      </c>
      <c r="Q364">
        <v>1</v>
      </c>
      <c r="R364" t="s">
        <v>1046</v>
      </c>
      <c r="S364" t="s">
        <v>91</v>
      </c>
      <c r="T364" t="s">
        <v>91</v>
      </c>
      <c r="U364" s="144"/>
    </row>
    <row r="365" spans="1:21">
      <c r="A365">
        <v>363</v>
      </c>
      <c r="B365" t="s">
        <v>453</v>
      </c>
      <c r="C365" t="s">
        <v>385</v>
      </c>
      <c r="D365" t="s">
        <v>1375</v>
      </c>
      <c r="E365" t="s">
        <v>467</v>
      </c>
      <c r="F365" t="s">
        <v>27</v>
      </c>
      <c r="G365" t="s">
        <v>224</v>
      </c>
      <c r="H365" t="s">
        <v>27</v>
      </c>
      <c r="I365">
        <v>1982</v>
      </c>
      <c r="J365" t="s">
        <v>40</v>
      </c>
      <c r="K365" t="s">
        <v>91</v>
      </c>
      <c r="M365" t="s">
        <v>139</v>
      </c>
      <c r="N365">
        <v>0</v>
      </c>
      <c r="O365">
        <v>0</v>
      </c>
      <c r="P365" t="s">
        <v>139</v>
      </c>
      <c r="Q365">
        <v>0</v>
      </c>
      <c r="R365" t="s">
        <v>999</v>
      </c>
      <c r="S365" t="s">
        <v>91</v>
      </c>
      <c r="T365" t="s">
        <v>91</v>
      </c>
      <c r="U365" s="144"/>
    </row>
    <row r="366" spans="1:21">
      <c r="A366">
        <v>364</v>
      </c>
      <c r="B366" t="s">
        <v>453</v>
      </c>
      <c r="C366" t="s">
        <v>386</v>
      </c>
      <c r="D366" t="s">
        <v>1376</v>
      </c>
      <c r="E366" t="s">
        <v>467</v>
      </c>
      <c r="F366" t="s">
        <v>27</v>
      </c>
      <c r="G366" t="s">
        <v>224</v>
      </c>
      <c r="H366" t="s">
        <v>27</v>
      </c>
      <c r="I366">
        <v>1937</v>
      </c>
      <c r="J366" t="s">
        <v>40</v>
      </c>
      <c r="K366" t="s">
        <v>91</v>
      </c>
      <c r="M366" t="s">
        <v>91</v>
      </c>
      <c r="N366">
        <v>1</v>
      </c>
      <c r="O366">
        <v>0</v>
      </c>
      <c r="P366" t="s">
        <v>91</v>
      </c>
      <c r="Q366">
        <v>1</v>
      </c>
      <c r="R366" t="s">
        <v>951</v>
      </c>
      <c r="S366" t="s">
        <v>91</v>
      </c>
      <c r="T366" t="s">
        <v>91</v>
      </c>
      <c r="U366" s="144"/>
    </row>
    <row r="367" spans="1:21">
      <c r="A367">
        <v>365</v>
      </c>
      <c r="B367" t="s">
        <v>453</v>
      </c>
      <c r="C367" t="s">
        <v>387</v>
      </c>
      <c r="D367" t="s">
        <v>1377</v>
      </c>
      <c r="E367" t="s">
        <v>467</v>
      </c>
      <c r="F367" t="s">
        <v>27</v>
      </c>
      <c r="G367" t="s">
        <v>224</v>
      </c>
      <c r="H367" t="s">
        <v>27</v>
      </c>
      <c r="I367">
        <v>1981</v>
      </c>
      <c r="J367" t="s">
        <v>39</v>
      </c>
      <c r="K367" t="s">
        <v>91</v>
      </c>
      <c r="M367" t="s">
        <v>139</v>
      </c>
      <c r="N367">
        <v>0</v>
      </c>
      <c r="O367">
        <v>0</v>
      </c>
      <c r="P367" t="s">
        <v>91</v>
      </c>
      <c r="Q367">
        <v>1</v>
      </c>
      <c r="R367" t="s">
        <v>999</v>
      </c>
      <c r="S367" t="s">
        <v>91</v>
      </c>
      <c r="T367" t="s">
        <v>139</v>
      </c>
      <c r="U367" s="144"/>
    </row>
    <row r="368" spans="1:21">
      <c r="A368">
        <v>366</v>
      </c>
      <c r="B368" t="s">
        <v>453</v>
      </c>
      <c r="C368" t="s">
        <v>416</v>
      </c>
      <c r="D368" t="s">
        <v>1379</v>
      </c>
      <c r="E368" t="s">
        <v>467</v>
      </c>
      <c r="F368" t="s">
        <v>27</v>
      </c>
      <c r="G368" t="s">
        <v>224</v>
      </c>
      <c r="H368" t="s">
        <v>496</v>
      </c>
      <c r="I368">
        <v>1963</v>
      </c>
      <c r="J368" t="s">
        <v>39</v>
      </c>
      <c r="K368" t="s">
        <v>91</v>
      </c>
      <c r="M368" t="s">
        <v>91</v>
      </c>
      <c r="N368">
        <v>1</v>
      </c>
      <c r="O368">
        <v>0</v>
      </c>
      <c r="P368" t="s">
        <v>91</v>
      </c>
      <c r="Q368">
        <v>1</v>
      </c>
      <c r="R368" t="s">
        <v>977</v>
      </c>
      <c r="S368" t="s">
        <v>91</v>
      </c>
      <c r="T368" t="s">
        <v>91</v>
      </c>
      <c r="U368" s="144"/>
    </row>
    <row r="369" spans="1:21">
      <c r="A369">
        <v>367</v>
      </c>
      <c r="B369" t="s">
        <v>453</v>
      </c>
      <c r="C369" t="s">
        <v>418</v>
      </c>
      <c r="D369" t="s">
        <v>1381</v>
      </c>
      <c r="E369" t="s">
        <v>467</v>
      </c>
      <c r="F369" t="s">
        <v>27</v>
      </c>
      <c r="G369" t="s">
        <v>224</v>
      </c>
      <c r="H369" t="s">
        <v>498</v>
      </c>
      <c r="I369">
        <v>1982</v>
      </c>
      <c r="J369" t="s">
        <v>40</v>
      </c>
      <c r="K369" t="s">
        <v>91</v>
      </c>
      <c r="M369" t="s">
        <v>91</v>
      </c>
      <c r="N369">
        <v>1</v>
      </c>
      <c r="O369">
        <v>0</v>
      </c>
      <c r="P369" t="s">
        <v>91</v>
      </c>
      <c r="Q369">
        <v>1</v>
      </c>
      <c r="R369" t="s">
        <v>1028</v>
      </c>
      <c r="S369" t="s">
        <v>91</v>
      </c>
      <c r="T369" t="s">
        <v>91</v>
      </c>
      <c r="U369" s="144" t="s">
        <v>292</v>
      </c>
    </row>
    <row r="370" spans="1:21">
      <c r="A370">
        <v>368</v>
      </c>
      <c r="B370" t="s">
        <v>453</v>
      </c>
      <c r="C370" t="s">
        <v>456</v>
      </c>
      <c r="D370">
        <v>9200386</v>
      </c>
      <c r="E370" t="s">
        <v>467</v>
      </c>
      <c r="F370" t="s">
        <v>27</v>
      </c>
      <c r="G370" t="s">
        <v>224</v>
      </c>
      <c r="H370" t="s">
        <v>499</v>
      </c>
      <c r="I370">
        <v>1953</v>
      </c>
      <c r="J370" t="s">
        <v>40</v>
      </c>
      <c r="K370" t="s">
        <v>91</v>
      </c>
      <c r="M370" t="s">
        <v>91</v>
      </c>
      <c r="N370">
        <v>1</v>
      </c>
      <c r="O370">
        <v>0</v>
      </c>
      <c r="P370" t="s">
        <v>91</v>
      </c>
      <c r="Q370">
        <v>1</v>
      </c>
      <c r="R370" t="s">
        <v>1066</v>
      </c>
      <c r="S370" t="s">
        <v>139</v>
      </c>
      <c r="T370" t="s">
        <v>91</v>
      </c>
      <c r="U370" s="144"/>
    </row>
    <row r="371" spans="1:21">
      <c r="A371">
        <v>369</v>
      </c>
      <c r="B371" t="s">
        <v>453</v>
      </c>
      <c r="C371" t="s">
        <v>424</v>
      </c>
      <c r="D371" t="s">
        <v>1384</v>
      </c>
      <c r="E371" t="s">
        <v>467</v>
      </c>
      <c r="F371" t="s">
        <v>27</v>
      </c>
      <c r="G371" t="s">
        <v>224</v>
      </c>
      <c r="H371" t="s">
        <v>475</v>
      </c>
      <c r="I371">
        <v>1951</v>
      </c>
      <c r="J371" t="s">
        <v>40</v>
      </c>
      <c r="K371" t="s">
        <v>91</v>
      </c>
      <c r="M371" t="s">
        <v>91</v>
      </c>
      <c r="N371">
        <v>1</v>
      </c>
      <c r="O371">
        <v>0</v>
      </c>
      <c r="P371" t="s">
        <v>91</v>
      </c>
      <c r="Q371">
        <v>1</v>
      </c>
      <c r="R371" t="s">
        <v>947</v>
      </c>
      <c r="S371" t="s">
        <v>91</v>
      </c>
      <c r="T371" t="s">
        <v>91</v>
      </c>
      <c r="U371" s="144"/>
    </row>
    <row r="372" spans="1:21">
      <c r="A372">
        <v>370</v>
      </c>
      <c r="B372" t="s">
        <v>453</v>
      </c>
      <c r="C372" t="s">
        <v>430</v>
      </c>
      <c r="D372" t="s">
        <v>1386</v>
      </c>
      <c r="E372" t="s">
        <v>467</v>
      </c>
      <c r="F372" t="s">
        <v>27</v>
      </c>
      <c r="G372" t="s">
        <v>224</v>
      </c>
      <c r="H372" t="s">
        <v>240</v>
      </c>
      <c r="I372">
        <v>1987</v>
      </c>
      <c r="J372" t="s">
        <v>40</v>
      </c>
      <c r="K372" t="s">
        <v>91</v>
      </c>
      <c r="M372" t="s">
        <v>139</v>
      </c>
      <c r="N372">
        <v>0</v>
      </c>
      <c r="O372">
        <v>0</v>
      </c>
      <c r="P372" t="s">
        <v>91</v>
      </c>
      <c r="Q372">
        <v>1</v>
      </c>
      <c r="R372" t="s">
        <v>947</v>
      </c>
      <c r="S372" t="s">
        <v>91</v>
      </c>
      <c r="T372" t="s">
        <v>91</v>
      </c>
      <c r="U372" s="144"/>
    </row>
    <row r="373" spans="1:21">
      <c r="A373">
        <v>371</v>
      </c>
      <c r="B373" t="s">
        <v>453</v>
      </c>
      <c r="C373" t="s">
        <v>460</v>
      </c>
      <c r="E373" t="s">
        <v>467</v>
      </c>
      <c r="F373" t="s">
        <v>27</v>
      </c>
      <c r="G373" t="s">
        <v>224</v>
      </c>
      <c r="H373" t="s">
        <v>482</v>
      </c>
      <c r="I373">
        <v>1987</v>
      </c>
      <c r="J373" t="s">
        <v>40</v>
      </c>
      <c r="K373" t="s">
        <v>91</v>
      </c>
      <c r="U373" s="144"/>
    </row>
    <row r="374" spans="1:21">
      <c r="A374">
        <v>372</v>
      </c>
      <c r="B374" t="s">
        <v>453</v>
      </c>
      <c r="C374" t="s">
        <v>434</v>
      </c>
      <c r="D374" t="s">
        <v>1390</v>
      </c>
      <c r="E374" t="s">
        <v>467</v>
      </c>
      <c r="F374" t="s">
        <v>27</v>
      </c>
      <c r="G374" t="s">
        <v>224</v>
      </c>
      <c r="H374" t="s">
        <v>237</v>
      </c>
      <c r="I374">
        <v>2008</v>
      </c>
      <c r="J374" t="s">
        <v>39</v>
      </c>
      <c r="K374" t="s">
        <v>91</v>
      </c>
      <c r="M374" t="s">
        <v>91</v>
      </c>
      <c r="N374">
        <v>1</v>
      </c>
      <c r="O374">
        <v>0</v>
      </c>
      <c r="P374" t="s">
        <v>91</v>
      </c>
      <c r="Q374">
        <v>1</v>
      </c>
      <c r="R374" t="s">
        <v>947</v>
      </c>
      <c r="S374" t="s">
        <v>91</v>
      </c>
      <c r="T374" t="s">
        <v>139</v>
      </c>
      <c r="U374" s="144"/>
    </row>
    <row r="375" spans="1:21">
      <c r="A375">
        <v>373</v>
      </c>
      <c r="B375" t="s">
        <v>453</v>
      </c>
      <c r="C375" t="s">
        <v>435</v>
      </c>
      <c r="D375" t="s">
        <v>1391</v>
      </c>
      <c r="E375" t="s">
        <v>467</v>
      </c>
      <c r="F375" t="s">
        <v>27</v>
      </c>
      <c r="G375" t="s">
        <v>224</v>
      </c>
      <c r="H375" t="s">
        <v>483</v>
      </c>
      <c r="J375" t="s">
        <v>40</v>
      </c>
      <c r="K375" t="s">
        <v>91</v>
      </c>
      <c r="M375" t="s">
        <v>91</v>
      </c>
      <c r="N375">
        <v>1</v>
      </c>
      <c r="O375">
        <v>0</v>
      </c>
      <c r="P375" t="s">
        <v>91</v>
      </c>
      <c r="Q375">
        <v>1</v>
      </c>
      <c r="R375" t="s">
        <v>977</v>
      </c>
      <c r="S375" t="s">
        <v>91</v>
      </c>
      <c r="T375" t="s">
        <v>91</v>
      </c>
      <c r="U375" s="144"/>
    </row>
    <row r="376" spans="1:21">
      <c r="A376">
        <v>374</v>
      </c>
      <c r="B376" t="s">
        <v>453</v>
      </c>
      <c r="C376" t="s">
        <v>436</v>
      </c>
      <c r="D376" t="s">
        <v>1392</v>
      </c>
      <c r="E376" t="s">
        <v>467</v>
      </c>
      <c r="F376" t="s">
        <v>27</v>
      </c>
      <c r="G376" t="s">
        <v>224</v>
      </c>
      <c r="H376" t="s">
        <v>238</v>
      </c>
      <c r="I376">
        <v>1989</v>
      </c>
      <c r="J376" t="s">
        <v>39</v>
      </c>
      <c r="K376" t="s">
        <v>91</v>
      </c>
      <c r="M376" t="s">
        <v>139</v>
      </c>
      <c r="N376">
        <v>0</v>
      </c>
      <c r="O376">
        <v>0</v>
      </c>
      <c r="P376" t="s">
        <v>1393</v>
      </c>
      <c r="Q376">
        <v>0</v>
      </c>
      <c r="R376" t="s">
        <v>1046</v>
      </c>
      <c r="S376" t="s">
        <v>91</v>
      </c>
      <c r="T376" t="s">
        <v>91</v>
      </c>
      <c r="U376" s="144"/>
    </row>
    <row r="377" spans="1:21">
      <c r="A377">
        <v>375</v>
      </c>
      <c r="B377" t="s">
        <v>453</v>
      </c>
      <c r="C377" t="s">
        <v>442</v>
      </c>
      <c r="D377" t="s">
        <v>1399</v>
      </c>
      <c r="E377" t="s">
        <v>467</v>
      </c>
      <c r="F377" t="s">
        <v>27</v>
      </c>
      <c r="G377" t="s">
        <v>224</v>
      </c>
      <c r="H377" t="s">
        <v>493</v>
      </c>
      <c r="I377">
        <v>2005</v>
      </c>
      <c r="J377" t="s">
        <v>39</v>
      </c>
      <c r="K377" t="s">
        <v>91</v>
      </c>
      <c r="M377" t="s">
        <v>139</v>
      </c>
      <c r="N377">
        <v>0</v>
      </c>
      <c r="O377">
        <v>0</v>
      </c>
      <c r="P377" t="s">
        <v>139</v>
      </c>
      <c r="Q377">
        <v>0</v>
      </c>
      <c r="R377" t="s">
        <v>947</v>
      </c>
      <c r="S377" t="s">
        <v>91</v>
      </c>
      <c r="T377" t="s">
        <v>91</v>
      </c>
      <c r="U377" s="144"/>
    </row>
    <row r="378" spans="1:21">
      <c r="A378">
        <v>376</v>
      </c>
      <c r="B378" t="s">
        <v>453</v>
      </c>
      <c r="C378" t="s">
        <v>446</v>
      </c>
      <c r="D378" t="s">
        <v>1404</v>
      </c>
      <c r="E378" t="s">
        <v>467</v>
      </c>
      <c r="F378" t="s">
        <v>27</v>
      </c>
      <c r="G378" t="s">
        <v>224</v>
      </c>
      <c r="H378" t="s">
        <v>239</v>
      </c>
      <c r="I378">
        <v>2005</v>
      </c>
      <c r="J378" t="s">
        <v>40</v>
      </c>
      <c r="K378" t="s">
        <v>91</v>
      </c>
      <c r="M378" t="s">
        <v>139</v>
      </c>
      <c r="N378">
        <v>0</v>
      </c>
      <c r="O378">
        <v>0</v>
      </c>
      <c r="P378" t="s">
        <v>1405</v>
      </c>
      <c r="Q378">
        <v>0</v>
      </c>
      <c r="R378" t="s">
        <v>1042</v>
      </c>
      <c r="S378" t="s">
        <v>91</v>
      </c>
      <c r="T378" t="s">
        <v>91</v>
      </c>
      <c r="U378" s="144"/>
    </row>
    <row r="379" spans="1:21">
      <c r="A379">
        <v>377</v>
      </c>
      <c r="B379" t="s">
        <v>453</v>
      </c>
      <c r="C379" t="s">
        <v>447</v>
      </c>
      <c r="D379" t="s">
        <v>1406</v>
      </c>
      <c r="E379" t="s">
        <v>467</v>
      </c>
      <c r="F379" t="s">
        <v>27</v>
      </c>
      <c r="G379" t="s">
        <v>224</v>
      </c>
      <c r="H379" t="s">
        <v>332</v>
      </c>
      <c r="I379">
        <v>1991</v>
      </c>
      <c r="J379" t="s">
        <v>39</v>
      </c>
      <c r="K379" t="s">
        <v>91</v>
      </c>
      <c r="M379" t="s">
        <v>1407</v>
      </c>
      <c r="N379">
        <v>1</v>
      </c>
      <c r="O379">
        <v>0</v>
      </c>
      <c r="P379" t="s">
        <v>91</v>
      </c>
      <c r="Q379">
        <v>1</v>
      </c>
      <c r="R379" t="s">
        <v>999</v>
      </c>
      <c r="S379" t="s">
        <v>91</v>
      </c>
      <c r="T379">
        <v>0</v>
      </c>
      <c r="U379" s="144" t="s">
        <v>292</v>
      </c>
    </row>
    <row r="380" spans="1:21">
      <c r="A380">
        <v>378</v>
      </c>
      <c r="B380" t="s">
        <v>453</v>
      </c>
      <c r="C380" t="s">
        <v>451</v>
      </c>
      <c r="D380" t="s">
        <v>1411</v>
      </c>
      <c r="E380" t="s">
        <v>467</v>
      </c>
      <c r="F380" t="s">
        <v>27</v>
      </c>
      <c r="G380" t="s">
        <v>224</v>
      </c>
      <c r="H380" t="s">
        <v>244</v>
      </c>
      <c r="I380">
        <v>1952</v>
      </c>
      <c r="J380" t="s">
        <v>40</v>
      </c>
      <c r="K380" t="s">
        <v>91</v>
      </c>
      <c r="M380" t="s">
        <v>139</v>
      </c>
      <c r="N380">
        <v>0</v>
      </c>
      <c r="O380">
        <v>0</v>
      </c>
      <c r="P380" t="s">
        <v>91</v>
      </c>
      <c r="Q380">
        <v>1</v>
      </c>
      <c r="R380" t="s">
        <v>947</v>
      </c>
      <c r="S380" t="s">
        <v>91</v>
      </c>
      <c r="T380" t="s">
        <v>139</v>
      </c>
      <c r="U380" s="144"/>
    </row>
    <row r="381" spans="1:21">
      <c r="A381">
        <v>379</v>
      </c>
      <c r="B381" t="s">
        <v>453</v>
      </c>
      <c r="C381" t="s">
        <v>464</v>
      </c>
      <c r="D381" t="s">
        <v>1412</v>
      </c>
      <c r="E381" t="s">
        <v>467</v>
      </c>
      <c r="F381" t="s">
        <v>27</v>
      </c>
      <c r="G381" t="s">
        <v>224</v>
      </c>
      <c r="H381" t="s">
        <v>27</v>
      </c>
      <c r="I381">
        <v>2007</v>
      </c>
      <c r="J381" t="s">
        <v>39</v>
      </c>
      <c r="K381" t="s">
        <v>91</v>
      </c>
      <c r="U381" s="144"/>
    </row>
    <row r="382" spans="1:21">
      <c r="A382">
        <v>380</v>
      </c>
      <c r="B382" t="s">
        <v>453</v>
      </c>
      <c r="C382" t="s">
        <v>410</v>
      </c>
      <c r="D382" t="s">
        <v>1348</v>
      </c>
      <c r="E382" t="s">
        <v>467</v>
      </c>
      <c r="F382" t="s">
        <v>27</v>
      </c>
      <c r="G382" t="s">
        <v>229</v>
      </c>
      <c r="H382" t="s">
        <v>229</v>
      </c>
      <c r="I382">
        <v>1845</v>
      </c>
      <c r="J382" t="s">
        <v>40</v>
      </c>
      <c r="K382" t="s">
        <v>91</v>
      </c>
      <c r="U382" s="144"/>
    </row>
    <row r="383" spans="1:21">
      <c r="A383">
        <v>381</v>
      </c>
      <c r="B383" t="s">
        <v>453</v>
      </c>
      <c r="C383" t="s">
        <v>411</v>
      </c>
      <c r="D383" t="s">
        <v>1360</v>
      </c>
      <c r="E383" t="s">
        <v>467</v>
      </c>
      <c r="F383" t="s">
        <v>27</v>
      </c>
      <c r="G383" t="s">
        <v>229</v>
      </c>
      <c r="H383" t="s">
        <v>229</v>
      </c>
      <c r="I383">
        <v>1928</v>
      </c>
      <c r="J383" t="s">
        <v>40</v>
      </c>
      <c r="K383" t="s">
        <v>91</v>
      </c>
      <c r="M383" t="s">
        <v>91</v>
      </c>
      <c r="N383">
        <v>1</v>
      </c>
      <c r="O383">
        <v>0</v>
      </c>
      <c r="P383" t="s">
        <v>91</v>
      </c>
      <c r="Q383">
        <v>1</v>
      </c>
      <c r="R383" t="s">
        <v>947</v>
      </c>
      <c r="S383" t="s">
        <v>139</v>
      </c>
      <c r="T383" t="s">
        <v>139</v>
      </c>
      <c r="U383" s="144" t="s">
        <v>292</v>
      </c>
    </row>
    <row r="384" spans="1:21">
      <c r="A384">
        <v>382</v>
      </c>
      <c r="B384" t="s">
        <v>453</v>
      </c>
      <c r="C384" t="s">
        <v>412</v>
      </c>
      <c r="D384" t="s">
        <v>1366</v>
      </c>
      <c r="E384" t="s">
        <v>467</v>
      </c>
      <c r="F384" t="s">
        <v>27</v>
      </c>
      <c r="G384" t="s">
        <v>229</v>
      </c>
      <c r="H384" t="s">
        <v>229</v>
      </c>
      <c r="I384">
        <v>1987</v>
      </c>
      <c r="J384" t="s">
        <v>39</v>
      </c>
      <c r="K384" t="s">
        <v>91</v>
      </c>
      <c r="M384" t="s">
        <v>139</v>
      </c>
      <c r="N384">
        <v>0</v>
      </c>
      <c r="O384">
        <v>0</v>
      </c>
      <c r="P384" t="s">
        <v>91</v>
      </c>
      <c r="Q384">
        <v>1</v>
      </c>
      <c r="R384" t="s">
        <v>1367</v>
      </c>
      <c r="S384" t="s">
        <v>139</v>
      </c>
      <c r="T384" t="s">
        <v>91</v>
      </c>
      <c r="U384" s="144"/>
    </row>
    <row r="385" spans="1:21">
      <c r="A385">
        <v>383</v>
      </c>
      <c r="B385" t="s">
        <v>453</v>
      </c>
      <c r="C385" t="s">
        <v>423</v>
      </c>
      <c r="D385" t="s">
        <v>1383</v>
      </c>
      <c r="E385" t="s">
        <v>467</v>
      </c>
      <c r="F385" t="s">
        <v>27</v>
      </c>
      <c r="G385" t="s">
        <v>229</v>
      </c>
      <c r="H385" t="s">
        <v>342</v>
      </c>
      <c r="I385">
        <v>1954</v>
      </c>
      <c r="J385" t="s">
        <v>40</v>
      </c>
      <c r="K385" t="s">
        <v>91</v>
      </c>
      <c r="M385" t="s">
        <v>139</v>
      </c>
      <c r="N385">
        <v>0</v>
      </c>
      <c r="O385">
        <v>0</v>
      </c>
      <c r="P385" t="s">
        <v>91</v>
      </c>
      <c r="Q385">
        <v>1</v>
      </c>
      <c r="R385" t="s">
        <v>947</v>
      </c>
      <c r="S385" t="s">
        <v>139</v>
      </c>
      <c r="T385">
        <v>0</v>
      </c>
      <c r="U385" s="144"/>
    </row>
    <row r="386" spans="1:21">
      <c r="A386">
        <v>384</v>
      </c>
      <c r="B386" t="s">
        <v>453</v>
      </c>
      <c r="C386" t="s">
        <v>452</v>
      </c>
      <c r="D386" t="s">
        <v>1350</v>
      </c>
      <c r="E386" t="s">
        <v>467</v>
      </c>
      <c r="F386" t="s">
        <v>27</v>
      </c>
      <c r="G386" t="s">
        <v>227</v>
      </c>
      <c r="H386" t="s">
        <v>233</v>
      </c>
      <c r="I386">
        <v>1954</v>
      </c>
      <c r="J386" t="s">
        <v>40</v>
      </c>
      <c r="K386" t="s">
        <v>91</v>
      </c>
      <c r="M386" t="s">
        <v>91</v>
      </c>
      <c r="N386">
        <v>1</v>
      </c>
      <c r="O386">
        <v>0</v>
      </c>
      <c r="P386" t="s">
        <v>91</v>
      </c>
      <c r="Q386">
        <v>1</v>
      </c>
      <c r="R386" t="s">
        <v>947</v>
      </c>
      <c r="S386" t="s">
        <v>139</v>
      </c>
      <c r="T386" t="s">
        <v>139</v>
      </c>
      <c r="U386" s="144"/>
    </row>
    <row r="387" spans="1:21">
      <c r="A387">
        <v>385</v>
      </c>
      <c r="B387" t="s">
        <v>453</v>
      </c>
      <c r="C387" t="s">
        <v>419</v>
      </c>
      <c r="D387" t="s">
        <v>1382</v>
      </c>
      <c r="E387" t="s">
        <v>467</v>
      </c>
      <c r="F387" t="s">
        <v>27</v>
      </c>
      <c r="G387" t="s">
        <v>227</v>
      </c>
      <c r="H387" t="s">
        <v>472</v>
      </c>
      <c r="I387">
        <v>1958</v>
      </c>
      <c r="J387" t="s">
        <v>40</v>
      </c>
      <c r="K387" t="s">
        <v>91</v>
      </c>
      <c r="U387" s="144"/>
    </row>
    <row r="388" spans="1:21">
      <c r="A388">
        <v>386</v>
      </c>
      <c r="B388" t="s">
        <v>453</v>
      </c>
      <c r="C388" t="s">
        <v>420</v>
      </c>
      <c r="D388" t="s">
        <v>1384</v>
      </c>
      <c r="E388" t="s">
        <v>467</v>
      </c>
      <c r="F388" t="s">
        <v>27</v>
      </c>
      <c r="G388" t="s">
        <v>227</v>
      </c>
      <c r="H388" t="s">
        <v>473</v>
      </c>
      <c r="I388">
        <v>1946</v>
      </c>
      <c r="J388" t="s">
        <v>40</v>
      </c>
      <c r="K388" t="s">
        <v>91</v>
      </c>
      <c r="M388" t="s">
        <v>91</v>
      </c>
      <c r="N388">
        <v>1</v>
      </c>
      <c r="O388">
        <v>0</v>
      </c>
      <c r="P388" t="s">
        <v>91</v>
      </c>
      <c r="Q388">
        <v>1</v>
      </c>
      <c r="R388" t="s">
        <v>947</v>
      </c>
      <c r="S388" t="s">
        <v>91</v>
      </c>
      <c r="T388" t="s">
        <v>91</v>
      </c>
      <c r="U388" s="144"/>
    </row>
    <row r="389" spans="1:21">
      <c r="A389">
        <v>387</v>
      </c>
      <c r="B389" t="s">
        <v>453</v>
      </c>
      <c r="C389" t="s">
        <v>438</v>
      </c>
      <c r="D389" t="s">
        <v>1395</v>
      </c>
      <c r="E389" t="s">
        <v>467</v>
      </c>
      <c r="F389" t="s">
        <v>27</v>
      </c>
      <c r="G389" t="s">
        <v>227</v>
      </c>
      <c r="H389" t="s">
        <v>227</v>
      </c>
      <c r="I389">
        <v>1955</v>
      </c>
      <c r="J389" t="s">
        <v>40</v>
      </c>
      <c r="K389" t="s">
        <v>91</v>
      </c>
      <c r="M389" t="s">
        <v>139</v>
      </c>
      <c r="N389">
        <v>0</v>
      </c>
      <c r="O389">
        <v>0</v>
      </c>
      <c r="P389" t="s">
        <v>91</v>
      </c>
      <c r="Q389">
        <v>1</v>
      </c>
      <c r="R389" t="s">
        <v>977</v>
      </c>
      <c r="S389" t="s">
        <v>139</v>
      </c>
      <c r="T389" t="s">
        <v>139</v>
      </c>
      <c r="U389" s="144"/>
    </row>
    <row r="390" spans="1:21">
      <c r="A390">
        <v>388</v>
      </c>
      <c r="B390" t="s">
        <v>453</v>
      </c>
      <c r="C390" t="s">
        <v>439</v>
      </c>
      <c r="D390" t="s">
        <v>1396</v>
      </c>
      <c r="E390" t="s">
        <v>467</v>
      </c>
      <c r="F390" t="s">
        <v>27</v>
      </c>
      <c r="G390" t="s">
        <v>227</v>
      </c>
      <c r="H390" t="s">
        <v>360</v>
      </c>
      <c r="I390">
        <v>1958</v>
      </c>
      <c r="J390" t="s">
        <v>40</v>
      </c>
      <c r="K390" t="s">
        <v>91</v>
      </c>
      <c r="M390" t="s">
        <v>91</v>
      </c>
      <c r="N390">
        <v>1</v>
      </c>
      <c r="O390">
        <v>0</v>
      </c>
      <c r="P390" t="s">
        <v>91</v>
      </c>
      <c r="Q390">
        <v>1</v>
      </c>
      <c r="R390" t="s">
        <v>947</v>
      </c>
      <c r="S390" t="s">
        <v>139</v>
      </c>
      <c r="T390" t="s">
        <v>91</v>
      </c>
      <c r="U390" s="144"/>
    </row>
    <row r="391" spans="1:21">
      <c r="A391">
        <v>389</v>
      </c>
      <c r="B391" t="s">
        <v>453</v>
      </c>
      <c r="C391" t="s">
        <v>441</v>
      </c>
      <c r="D391" t="s">
        <v>1398</v>
      </c>
      <c r="E391" t="s">
        <v>467</v>
      </c>
      <c r="F391" t="s">
        <v>27</v>
      </c>
      <c r="G391" t="s">
        <v>227</v>
      </c>
      <c r="H391" t="s">
        <v>502</v>
      </c>
      <c r="J391" t="s">
        <v>40</v>
      </c>
      <c r="K391" t="s">
        <v>91</v>
      </c>
      <c r="M391" t="s">
        <v>91</v>
      </c>
      <c r="N391">
        <v>1</v>
      </c>
      <c r="O391">
        <v>0</v>
      </c>
      <c r="P391" t="s">
        <v>91</v>
      </c>
      <c r="Q391">
        <v>1</v>
      </c>
      <c r="R391" t="s">
        <v>947</v>
      </c>
      <c r="S391" t="s">
        <v>139</v>
      </c>
      <c r="T391" t="s">
        <v>91</v>
      </c>
      <c r="U391" s="144"/>
    </row>
    <row r="392" spans="1:21">
      <c r="A392">
        <v>390</v>
      </c>
      <c r="B392" t="s">
        <v>453</v>
      </c>
      <c r="C392" t="s">
        <v>457</v>
      </c>
      <c r="E392" t="s">
        <v>467</v>
      </c>
      <c r="F392" t="s">
        <v>27</v>
      </c>
      <c r="G392" t="s">
        <v>225</v>
      </c>
      <c r="H392" t="s">
        <v>235</v>
      </c>
      <c r="I392">
        <v>1952</v>
      </c>
      <c r="J392" t="s">
        <v>40</v>
      </c>
      <c r="K392" t="s">
        <v>91</v>
      </c>
      <c r="U392" s="144"/>
    </row>
    <row r="393" spans="1:21">
      <c r="A393">
        <v>391</v>
      </c>
      <c r="B393" t="s">
        <v>453</v>
      </c>
      <c r="C393" t="s">
        <v>429</v>
      </c>
      <c r="D393" t="s">
        <v>1385</v>
      </c>
      <c r="E393" t="s">
        <v>467</v>
      </c>
      <c r="F393" t="s">
        <v>27</v>
      </c>
      <c r="G393" t="s">
        <v>225</v>
      </c>
      <c r="H393" t="s">
        <v>348</v>
      </c>
      <c r="I393">
        <v>1996</v>
      </c>
      <c r="J393" t="s">
        <v>40</v>
      </c>
      <c r="K393" t="s">
        <v>91</v>
      </c>
      <c r="M393" t="s">
        <v>139</v>
      </c>
      <c r="N393">
        <v>0</v>
      </c>
      <c r="O393">
        <v>0</v>
      </c>
      <c r="P393" t="s">
        <v>91</v>
      </c>
      <c r="Q393">
        <v>1</v>
      </c>
      <c r="R393" t="s">
        <v>977</v>
      </c>
      <c r="S393" t="s">
        <v>139</v>
      </c>
      <c r="T393" t="s">
        <v>139</v>
      </c>
      <c r="U393" s="144"/>
    </row>
    <row r="394" spans="1:21">
      <c r="A394">
        <v>392</v>
      </c>
      <c r="B394" t="s">
        <v>453</v>
      </c>
      <c r="C394" t="s">
        <v>432</v>
      </c>
      <c r="D394" t="s">
        <v>1388</v>
      </c>
      <c r="E394" t="s">
        <v>467</v>
      </c>
      <c r="F394" t="s">
        <v>27</v>
      </c>
      <c r="G394" t="s">
        <v>225</v>
      </c>
      <c r="H394" t="s">
        <v>479</v>
      </c>
      <c r="I394">
        <v>1927</v>
      </c>
      <c r="J394" t="s">
        <v>40</v>
      </c>
      <c r="K394" t="s">
        <v>91</v>
      </c>
      <c r="M394" t="s">
        <v>91</v>
      </c>
      <c r="N394">
        <v>1</v>
      </c>
      <c r="O394">
        <v>0</v>
      </c>
      <c r="P394" t="s">
        <v>91</v>
      </c>
      <c r="Q394">
        <v>1</v>
      </c>
      <c r="R394" t="s">
        <v>977</v>
      </c>
      <c r="S394" t="s">
        <v>139</v>
      </c>
      <c r="T394">
        <v>0</v>
      </c>
      <c r="U394" s="144"/>
    </row>
    <row r="395" spans="1:21">
      <c r="A395">
        <v>393</v>
      </c>
      <c r="B395" t="s">
        <v>453</v>
      </c>
      <c r="C395" t="s">
        <v>459</v>
      </c>
      <c r="E395" t="s">
        <v>467</v>
      </c>
      <c r="F395" t="s">
        <v>27</v>
      </c>
      <c r="G395" t="s">
        <v>225</v>
      </c>
      <c r="H395" t="s">
        <v>480</v>
      </c>
      <c r="I395">
        <v>1986</v>
      </c>
      <c r="J395" t="s">
        <v>40</v>
      </c>
      <c r="K395" t="s">
        <v>91</v>
      </c>
      <c r="U395" s="144"/>
    </row>
    <row r="396" spans="1:21">
      <c r="A396">
        <v>394</v>
      </c>
      <c r="B396" t="s">
        <v>453</v>
      </c>
      <c r="C396" t="s">
        <v>445</v>
      </c>
      <c r="D396" t="s">
        <v>1402</v>
      </c>
      <c r="E396" t="s">
        <v>467</v>
      </c>
      <c r="F396" t="s">
        <v>27</v>
      </c>
      <c r="G396" t="s">
        <v>225</v>
      </c>
      <c r="H396" t="s">
        <v>231</v>
      </c>
      <c r="I396">
        <v>1929</v>
      </c>
      <c r="J396" t="s">
        <v>40</v>
      </c>
      <c r="K396" t="s">
        <v>91</v>
      </c>
      <c r="M396" t="s">
        <v>91</v>
      </c>
      <c r="N396">
        <v>1</v>
      </c>
      <c r="O396">
        <v>0</v>
      </c>
      <c r="P396" t="s">
        <v>91</v>
      </c>
      <c r="Q396">
        <v>1</v>
      </c>
      <c r="R396" t="s">
        <v>1403</v>
      </c>
      <c r="S396" t="s">
        <v>91</v>
      </c>
      <c r="T396" t="s">
        <v>91</v>
      </c>
      <c r="U396" s="144"/>
    </row>
    <row r="397" spans="1:21">
      <c r="A397">
        <v>395</v>
      </c>
      <c r="B397" t="s">
        <v>453</v>
      </c>
      <c r="C397" t="s">
        <v>466</v>
      </c>
      <c r="E397" t="s">
        <v>468</v>
      </c>
      <c r="F397" t="s">
        <v>27</v>
      </c>
      <c r="G397" t="s">
        <v>226</v>
      </c>
      <c r="H397" t="s">
        <v>487</v>
      </c>
      <c r="I397">
        <v>1970</v>
      </c>
      <c r="J397" t="s">
        <v>40</v>
      </c>
      <c r="K397" t="s">
        <v>91</v>
      </c>
      <c r="U397" s="144"/>
    </row>
    <row r="398" spans="1:21">
      <c r="A398">
        <v>396</v>
      </c>
      <c r="B398" t="s">
        <v>453</v>
      </c>
      <c r="C398" t="s">
        <v>374</v>
      </c>
      <c r="D398" t="s">
        <v>1499</v>
      </c>
      <c r="E398" t="s">
        <v>468</v>
      </c>
      <c r="F398" t="s">
        <v>27</v>
      </c>
      <c r="G398" t="s">
        <v>226</v>
      </c>
      <c r="H398" t="s">
        <v>232</v>
      </c>
      <c r="I398">
        <v>1975</v>
      </c>
      <c r="J398" t="s">
        <v>40</v>
      </c>
      <c r="K398" t="s">
        <v>91</v>
      </c>
      <c r="M398" t="s">
        <v>91</v>
      </c>
      <c r="N398">
        <v>1</v>
      </c>
      <c r="O398">
        <v>0</v>
      </c>
      <c r="P398" t="s">
        <v>139</v>
      </c>
      <c r="Q398">
        <v>0</v>
      </c>
      <c r="R398" t="s">
        <v>947</v>
      </c>
      <c r="S398" t="s">
        <v>139</v>
      </c>
      <c r="T398" t="s">
        <v>91</v>
      </c>
      <c r="U398" s="144"/>
    </row>
    <row r="399" spans="1:21">
      <c r="A399">
        <v>397</v>
      </c>
      <c r="B399" t="s">
        <v>453</v>
      </c>
      <c r="C399" t="s">
        <v>328</v>
      </c>
      <c r="D399" t="s">
        <v>1453</v>
      </c>
      <c r="E399" t="s">
        <v>468</v>
      </c>
      <c r="F399" t="s">
        <v>27</v>
      </c>
      <c r="G399" t="s">
        <v>329</v>
      </c>
      <c r="H399" t="s">
        <v>470</v>
      </c>
      <c r="I399">
        <v>1989</v>
      </c>
      <c r="J399" t="s">
        <v>39</v>
      </c>
      <c r="K399" t="s">
        <v>91</v>
      </c>
      <c r="U399" s="144"/>
    </row>
    <row r="400" spans="1:21">
      <c r="A400">
        <v>398</v>
      </c>
      <c r="B400" t="s">
        <v>453</v>
      </c>
      <c r="C400" t="s">
        <v>346</v>
      </c>
      <c r="D400" t="s">
        <v>1468</v>
      </c>
      <c r="E400" t="s">
        <v>468</v>
      </c>
      <c r="F400" t="s">
        <v>27</v>
      </c>
      <c r="G400" t="s">
        <v>329</v>
      </c>
      <c r="H400" t="s">
        <v>478</v>
      </c>
      <c r="J400" t="s">
        <v>40</v>
      </c>
      <c r="K400" t="s">
        <v>91</v>
      </c>
      <c r="M400" t="s">
        <v>139</v>
      </c>
      <c r="N400">
        <v>0</v>
      </c>
      <c r="O400">
        <v>0</v>
      </c>
      <c r="P400" t="s">
        <v>139</v>
      </c>
      <c r="Q400">
        <v>0</v>
      </c>
      <c r="R400" t="s">
        <v>947</v>
      </c>
      <c r="S400" t="s">
        <v>139</v>
      </c>
      <c r="T400" t="s">
        <v>91</v>
      </c>
      <c r="U400" s="144"/>
    </row>
    <row r="401" spans="1:21">
      <c r="A401">
        <v>399</v>
      </c>
      <c r="B401" t="s">
        <v>453</v>
      </c>
      <c r="C401" t="s">
        <v>349</v>
      </c>
      <c r="D401" t="s">
        <v>1470</v>
      </c>
      <c r="E401" t="s">
        <v>468</v>
      </c>
      <c r="F401" t="s">
        <v>27</v>
      </c>
      <c r="G401" t="s">
        <v>329</v>
      </c>
      <c r="H401" t="s">
        <v>501</v>
      </c>
      <c r="J401" t="s">
        <v>40</v>
      </c>
      <c r="K401" t="s">
        <v>91</v>
      </c>
      <c r="M401" t="s">
        <v>91</v>
      </c>
      <c r="N401">
        <v>1</v>
      </c>
      <c r="O401">
        <v>0</v>
      </c>
      <c r="P401" t="s">
        <v>91</v>
      </c>
      <c r="Q401">
        <v>1</v>
      </c>
      <c r="R401" t="s">
        <v>947</v>
      </c>
      <c r="S401" t="s">
        <v>91</v>
      </c>
      <c r="T401" t="s">
        <v>91</v>
      </c>
      <c r="U401" s="144"/>
    </row>
    <row r="402" spans="1:21">
      <c r="A402">
        <v>400</v>
      </c>
      <c r="B402" t="s">
        <v>453</v>
      </c>
      <c r="C402" t="s">
        <v>365</v>
      </c>
      <c r="D402" t="s">
        <v>1489</v>
      </c>
      <c r="E402" t="s">
        <v>468</v>
      </c>
      <c r="F402" t="s">
        <v>27</v>
      </c>
      <c r="G402" t="s">
        <v>329</v>
      </c>
      <c r="H402" t="s">
        <v>503</v>
      </c>
      <c r="I402">
        <v>1951</v>
      </c>
      <c r="J402" t="s">
        <v>40</v>
      </c>
      <c r="K402" t="s">
        <v>91</v>
      </c>
      <c r="U402" s="144"/>
    </row>
    <row r="403" spans="1:21">
      <c r="A403">
        <v>401</v>
      </c>
      <c r="B403" t="s">
        <v>453</v>
      </c>
      <c r="C403" t="s">
        <v>334</v>
      </c>
      <c r="D403" t="s">
        <v>1458</v>
      </c>
      <c r="E403" t="s">
        <v>468</v>
      </c>
      <c r="F403" t="s">
        <v>27</v>
      </c>
      <c r="G403" t="s">
        <v>335</v>
      </c>
      <c r="H403" t="s">
        <v>490</v>
      </c>
      <c r="I403">
        <v>1954</v>
      </c>
      <c r="J403" t="s">
        <v>40</v>
      </c>
      <c r="K403" t="s">
        <v>139</v>
      </c>
      <c r="U403" s="144"/>
    </row>
    <row r="404" spans="1:21">
      <c r="A404">
        <v>402</v>
      </c>
      <c r="B404" t="s">
        <v>453</v>
      </c>
      <c r="C404" t="s">
        <v>361</v>
      </c>
      <c r="D404" t="s">
        <v>1485</v>
      </c>
      <c r="E404" t="s">
        <v>468</v>
      </c>
      <c r="F404" t="s">
        <v>27</v>
      </c>
      <c r="G404" t="s">
        <v>335</v>
      </c>
      <c r="H404" t="s">
        <v>485</v>
      </c>
      <c r="I404">
        <v>2007</v>
      </c>
      <c r="J404" t="s">
        <v>40</v>
      </c>
      <c r="K404" t="s">
        <v>91</v>
      </c>
      <c r="M404" t="s">
        <v>139</v>
      </c>
      <c r="N404">
        <v>0</v>
      </c>
      <c r="O404">
        <v>0</v>
      </c>
      <c r="P404" t="s">
        <v>91</v>
      </c>
      <c r="Q404">
        <v>1</v>
      </c>
      <c r="R404" t="s">
        <v>947</v>
      </c>
      <c r="S404" t="s">
        <v>91</v>
      </c>
      <c r="T404" t="s">
        <v>91</v>
      </c>
      <c r="U404" s="144"/>
    </row>
    <row r="405" spans="1:21">
      <c r="A405">
        <v>403</v>
      </c>
      <c r="B405" t="s">
        <v>453</v>
      </c>
      <c r="C405" t="s">
        <v>368</v>
      </c>
      <c r="D405" t="s">
        <v>1494</v>
      </c>
      <c r="E405" t="s">
        <v>468</v>
      </c>
      <c r="F405" t="s">
        <v>27</v>
      </c>
      <c r="G405" t="s">
        <v>335</v>
      </c>
      <c r="H405" t="s">
        <v>369</v>
      </c>
      <c r="I405">
        <v>1897</v>
      </c>
      <c r="J405" t="s">
        <v>40</v>
      </c>
      <c r="K405" t="s">
        <v>91</v>
      </c>
      <c r="M405" t="s">
        <v>91</v>
      </c>
      <c r="N405">
        <v>1</v>
      </c>
      <c r="O405">
        <v>0</v>
      </c>
      <c r="P405" t="s">
        <v>91</v>
      </c>
      <c r="Q405">
        <v>1</v>
      </c>
      <c r="R405" t="s">
        <v>947</v>
      </c>
      <c r="S405" t="s">
        <v>139</v>
      </c>
      <c r="T405">
        <v>0</v>
      </c>
      <c r="U405" s="144"/>
    </row>
    <row r="406" spans="1:21">
      <c r="A406">
        <v>404</v>
      </c>
      <c r="B406" t="s">
        <v>453</v>
      </c>
      <c r="C406" t="s">
        <v>465</v>
      </c>
      <c r="D406" t="s">
        <v>1420</v>
      </c>
      <c r="E406" t="s">
        <v>468</v>
      </c>
      <c r="F406" t="s">
        <v>27</v>
      </c>
      <c r="G406" t="s">
        <v>228</v>
      </c>
      <c r="H406" t="s">
        <v>236</v>
      </c>
      <c r="I406">
        <v>1954</v>
      </c>
      <c r="J406" t="s">
        <v>40</v>
      </c>
      <c r="K406" t="s">
        <v>91</v>
      </c>
      <c r="M406" t="s">
        <v>139</v>
      </c>
      <c r="N406">
        <v>0</v>
      </c>
      <c r="O406">
        <v>0</v>
      </c>
      <c r="P406" t="s">
        <v>91</v>
      </c>
      <c r="Q406">
        <v>1</v>
      </c>
      <c r="R406" t="s">
        <v>1042</v>
      </c>
      <c r="S406" t="s">
        <v>91</v>
      </c>
      <c r="T406">
        <v>0</v>
      </c>
      <c r="U406" s="144"/>
    </row>
    <row r="407" spans="1:21">
      <c r="A407">
        <v>405</v>
      </c>
      <c r="B407" t="s">
        <v>453</v>
      </c>
      <c r="C407" t="s">
        <v>320</v>
      </c>
      <c r="D407" t="s">
        <v>1432</v>
      </c>
      <c r="E407" t="s">
        <v>468</v>
      </c>
      <c r="F407" t="s">
        <v>27</v>
      </c>
      <c r="G407" t="s">
        <v>228</v>
      </c>
      <c r="H407" t="s">
        <v>236</v>
      </c>
      <c r="I407">
        <v>2010</v>
      </c>
      <c r="J407" t="s">
        <v>39</v>
      </c>
      <c r="K407" t="s">
        <v>91</v>
      </c>
      <c r="M407" t="s">
        <v>139</v>
      </c>
      <c r="N407">
        <v>0</v>
      </c>
      <c r="O407">
        <v>0</v>
      </c>
      <c r="P407" t="s">
        <v>91</v>
      </c>
      <c r="Q407">
        <v>1</v>
      </c>
      <c r="R407" t="s">
        <v>951</v>
      </c>
      <c r="S407" t="s">
        <v>91</v>
      </c>
      <c r="T407" t="s">
        <v>91</v>
      </c>
      <c r="U407" s="144"/>
    </row>
    <row r="408" spans="1:21">
      <c r="A408">
        <v>406</v>
      </c>
      <c r="B408" t="s">
        <v>453</v>
      </c>
      <c r="C408" t="s">
        <v>330</v>
      </c>
      <c r="D408" t="s">
        <v>1454</v>
      </c>
      <c r="E408" t="s">
        <v>468</v>
      </c>
      <c r="F408" t="s">
        <v>27</v>
      </c>
      <c r="G408" t="s">
        <v>228</v>
      </c>
      <c r="H408" t="s">
        <v>497</v>
      </c>
      <c r="I408">
        <v>0</v>
      </c>
      <c r="J408" t="s">
        <v>40</v>
      </c>
      <c r="K408" t="s">
        <v>91</v>
      </c>
      <c r="M408" t="s">
        <v>91</v>
      </c>
      <c r="N408">
        <v>1</v>
      </c>
      <c r="O408">
        <v>0</v>
      </c>
      <c r="P408" t="s">
        <v>91</v>
      </c>
      <c r="Q408">
        <v>1</v>
      </c>
      <c r="R408" t="s">
        <v>947</v>
      </c>
      <c r="S408" t="s">
        <v>91</v>
      </c>
      <c r="T408" t="s">
        <v>139</v>
      </c>
      <c r="U408" s="144"/>
    </row>
    <row r="409" spans="1:21">
      <c r="A409">
        <v>407</v>
      </c>
      <c r="B409" t="s">
        <v>453</v>
      </c>
      <c r="C409" t="s">
        <v>337</v>
      </c>
      <c r="D409" t="s">
        <v>1460</v>
      </c>
      <c r="E409" t="s">
        <v>468</v>
      </c>
      <c r="F409" t="s">
        <v>27</v>
      </c>
      <c r="G409" t="s">
        <v>228</v>
      </c>
      <c r="H409" t="s">
        <v>474</v>
      </c>
      <c r="I409">
        <v>1926</v>
      </c>
      <c r="J409" t="s">
        <v>40</v>
      </c>
      <c r="K409" t="s">
        <v>91</v>
      </c>
      <c r="M409" t="s">
        <v>91</v>
      </c>
      <c r="N409">
        <v>1</v>
      </c>
      <c r="O409">
        <v>0</v>
      </c>
      <c r="P409" t="s">
        <v>91</v>
      </c>
      <c r="Q409">
        <v>1</v>
      </c>
      <c r="R409" t="s">
        <v>947</v>
      </c>
      <c r="S409" t="s">
        <v>91</v>
      </c>
      <c r="T409" t="s">
        <v>139</v>
      </c>
      <c r="U409" s="144"/>
    </row>
    <row r="410" spans="1:21">
      <c r="A410">
        <v>408</v>
      </c>
      <c r="B410" t="s">
        <v>453</v>
      </c>
      <c r="C410" t="s">
        <v>338</v>
      </c>
      <c r="D410" t="s">
        <v>1461</v>
      </c>
      <c r="E410" t="s">
        <v>468</v>
      </c>
      <c r="F410" t="s">
        <v>27</v>
      </c>
      <c r="G410" t="s">
        <v>228</v>
      </c>
      <c r="H410" t="s">
        <v>491</v>
      </c>
      <c r="I410">
        <v>2000</v>
      </c>
      <c r="J410" t="s">
        <v>40</v>
      </c>
      <c r="K410" t="s">
        <v>91</v>
      </c>
      <c r="U410" s="144"/>
    </row>
    <row r="411" spans="1:21">
      <c r="A411">
        <v>409</v>
      </c>
      <c r="B411" t="s">
        <v>453</v>
      </c>
      <c r="C411" t="s">
        <v>344</v>
      </c>
      <c r="D411" t="s">
        <v>1466</v>
      </c>
      <c r="E411" t="s">
        <v>468</v>
      </c>
      <c r="F411" t="s">
        <v>27</v>
      </c>
      <c r="G411" t="s">
        <v>228</v>
      </c>
      <c r="H411" t="s">
        <v>228</v>
      </c>
      <c r="J411" t="s">
        <v>40</v>
      </c>
      <c r="K411" t="s">
        <v>91</v>
      </c>
      <c r="M411" t="s">
        <v>139</v>
      </c>
      <c r="N411">
        <v>0</v>
      </c>
      <c r="O411">
        <v>0</v>
      </c>
      <c r="P411" t="s">
        <v>91</v>
      </c>
      <c r="Q411">
        <v>1</v>
      </c>
      <c r="R411" t="s">
        <v>947</v>
      </c>
      <c r="S411" t="s">
        <v>139</v>
      </c>
      <c r="T411" t="s">
        <v>91</v>
      </c>
      <c r="U411" s="144"/>
    </row>
    <row r="412" spans="1:21">
      <c r="A412">
        <v>410</v>
      </c>
      <c r="B412" t="s">
        <v>453</v>
      </c>
      <c r="C412" t="s">
        <v>345</v>
      </c>
      <c r="D412" t="s">
        <v>1467</v>
      </c>
      <c r="E412" t="s">
        <v>468</v>
      </c>
      <c r="F412" t="s">
        <v>27</v>
      </c>
      <c r="G412" t="s">
        <v>228</v>
      </c>
      <c r="H412" t="s">
        <v>477</v>
      </c>
      <c r="I412">
        <v>1910</v>
      </c>
      <c r="J412" t="s">
        <v>39</v>
      </c>
      <c r="K412" t="s">
        <v>91</v>
      </c>
      <c r="M412" t="s">
        <v>91</v>
      </c>
      <c r="N412">
        <v>1</v>
      </c>
      <c r="O412">
        <v>0</v>
      </c>
      <c r="P412" t="s">
        <v>91</v>
      </c>
      <c r="Q412">
        <v>1</v>
      </c>
      <c r="R412" t="s">
        <v>947</v>
      </c>
      <c r="S412" t="s">
        <v>91</v>
      </c>
      <c r="T412" t="s">
        <v>91</v>
      </c>
      <c r="U412" s="144"/>
    </row>
    <row r="413" spans="1:21">
      <c r="A413">
        <v>411</v>
      </c>
      <c r="B413" t="s">
        <v>453</v>
      </c>
      <c r="C413" t="s">
        <v>352</v>
      </c>
      <c r="D413" t="s">
        <v>1473</v>
      </c>
      <c r="E413" t="s">
        <v>468</v>
      </c>
      <c r="F413" t="s">
        <v>27</v>
      </c>
      <c r="G413" t="s">
        <v>228</v>
      </c>
      <c r="H413" t="s">
        <v>481</v>
      </c>
      <c r="I413">
        <v>1932</v>
      </c>
      <c r="J413" t="s">
        <v>40</v>
      </c>
      <c r="K413" t="s">
        <v>91</v>
      </c>
      <c r="M413" t="s">
        <v>91</v>
      </c>
      <c r="N413">
        <v>1</v>
      </c>
      <c r="O413">
        <v>0</v>
      </c>
      <c r="P413" t="s">
        <v>91</v>
      </c>
      <c r="Q413">
        <v>1</v>
      </c>
      <c r="R413" t="s">
        <v>947</v>
      </c>
      <c r="S413" t="s">
        <v>139</v>
      </c>
      <c r="T413">
        <v>0</v>
      </c>
      <c r="U413" s="144"/>
    </row>
    <row r="414" spans="1:21">
      <c r="A414">
        <v>412</v>
      </c>
      <c r="B414" t="s">
        <v>453</v>
      </c>
      <c r="C414" t="s">
        <v>357</v>
      </c>
      <c r="D414" t="s">
        <v>1482</v>
      </c>
      <c r="E414" t="s">
        <v>468</v>
      </c>
      <c r="F414" t="s">
        <v>27</v>
      </c>
      <c r="G414" t="s">
        <v>228</v>
      </c>
      <c r="H414" t="s">
        <v>241</v>
      </c>
      <c r="I414">
        <v>1983</v>
      </c>
      <c r="J414" t="s">
        <v>40</v>
      </c>
      <c r="K414" t="s">
        <v>91</v>
      </c>
      <c r="M414" t="s">
        <v>91</v>
      </c>
      <c r="N414">
        <v>1</v>
      </c>
      <c r="O414">
        <v>0</v>
      </c>
      <c r="P414" t="s">
        <v>91</v>
      </c>
      <c r="Q414">
        <v>1</v>
      </c>
      <c r="R414" t="s">
        <v>947</v>
      </c>
      <c r="S414" t="s">
        <v>91</v>
      </c>
      <c r="T414" t="s">
        <v>91</v>
      </c>
      <c r="U414" s="144"/>
    </row>
    <row r="415" spans="1:21">
      <c r="A415">
        <v>413</v>
      </c>
      <c r="B415" t="s">
        <v>453</v>
      </c>
      <c r="C415" t="s">
        <v>375</v>
      </c>
      <c r="D415" t="s">
        <v>1500</v>
      </c>
      <c r="E415" t="s">
        <v>468</v>
      </c>
      <c r="F415" t="s">
        <v>27</v>
      </c>
      <c r="G415" t="s">
        <v>228</v>
      </c>
      <c r="H415" t="s">
        <v>488</v>
      </c>
      <c r="I415">
        <v>1986</v>
      </c>
      <c r="J415" t="s">
        <v>39</v>
      </c>
      <c r="K415" t="s">
        <v>91</v>
      </c>
      <c r="M415" t="s">
        <v>91</v>
      </c>
      <c r="N415">
        <v>1</v>
      </c>
      <c r="O415">
        <v>0</v>
      </c>
      <c r="P415" t="s">
        <v>91</v>
      </c>
      <c r="Q415">
        <v>1</v>
      </c>
      <c r="R415" t="s">
        <v>977</v>
      </c>
      <c r="S415" t="s">
        <v>91</v>
      </c>
      <c r="T415" t="s">
        <v>91</v>
      </c>
      <c r="U415" s="144"/>
    </row>
    <row r="416" spans="1:21">
      <c r="A416">
        <v>414</v>
      </c>
      <c r="B416" t="s">
        <v>453</v>
      </c>
      <c r="C416" t="s">
        <v>301</v>
      </c>
      <c r="D416" t="s">
        <v>1413</v>
      </c>
      <c r="E416" t="s">
        <v>468</v>
      </c>
      <c r="F416" t="s">
        <v>27</v>
      </c>
      <c r="G416" t="s">
        <v>224</v>
      </c>
      <c r="H416" t="s">
        <v>27</v>
      </c>
      <c r="I416">
        <v>1979</v>
      </c>
      <c r="J416" t="s">
        <v>40</v>
      </c>
      <c r="K416" t="s">
        <v>91</v>
      </c>
      <c r="M416" t="s">
        <v>91</v>
      </c>
      <c r="N416">
        <v>1</v>
      </c>
      <c r="O416">
        <v>0</v>
      </c>
      <c r="P416" t="s">
        <v>91</v>
      </c>
      <c r="Q416">
        <v>1</v>
      </c>
      <c r="R416" t="s">
        <v>1414</v>
      </c>
      <c r="S416" t="s">
        <v>91</v>
      </c>
      <c r="T416" t="s">
        <v>91</v>
      </c>
      <c r="U416" s="144"/>
    </row>
    <row r="417" spans="1:21">
      <c r="A417">
        <v>415</v>
      </c>
      <c r="B417" t="s">
        <v>453</v>
      </c>
      <c r="C417" t="s">
        <v>302</v>
      </c>
      <c r="D417" t="s">
        <v>1415</v>
      </c>
      <c r="E417" t="s">
        <v>468</v>
      </c>
      <c r="F417" t="s">
        <v>27</v>
      </c>
      <c r="G417" t="s">
        <v>224</v>
      </c>
      <c r="H417" t="s">
        <v>27</v>
      </c>
      <c r="I417">
        <v>2009</v>
      </c>
      <c r="J417" t="s">
        <v>39</v>
      </c>
      <c r="K417" t="s">
        <v>91</v>
      </c>
      <c r="M417" t="s">
        <v>139</v>
      </c>
      <c r="N417">
        <v>0</v>
      </c>
      <c r="O417">
        <v>0</v>
      </c>
      <c r="P417" t="s">
        <v>139</v>
      </c>
      <c r="Q417">
        <v>0</v>
      </c>
      <c r="R417" t="s">
        <v>951</v>
      </c>
      <c r="S417" t="s">
        <v>91</v>
      </c>
      <c r="T417" t="s">
        <v>139</v>
      </c>
      <c r="U417" s="144"/>
    </row>
    <row r="418" spans="1:21">
      <c r="A418">
        <v>416</v>
      </c>
      <c r="B418" t="s">
        <v>453</v>
      </c>
      <c r="C418" t="s">
        <v>303</v>
      </c>
      <c r="D418" t="s">
        <v>1416</v>
      </c>
      <c r="E418" t="s">
        <v>468</v>
      </c>
      <c r="F418" t="s">
        <v>27</v>
      </c>
      <c r="G418" t="s">
        <v>224</v>
      </c>
      <c r="H418" t="s">
        <v>27</v>
      </c>
      <c r="J418" t="s">
        <v>40</v>
      </c>
      <c r="K418" t="s">
        <v>91</v>
      </c>
      <c r="M418" t="s">
        <v>91</v>
      </c>
      <c r="N418">
        <v>1</v>
      </c>
      <c r="O418">
        <v>0</v>
      </c>
      <c r="P418" t="s">
        <v>91</v>
      </c>
      <c r="Q418">
        <v>1</v>
      </c>
      <c r="R418" t="s">
        <v>977</v>
      </c>
      <c r="S418" t="s">
        <v>91</v>
      </c>
      <c r="T418" t="s">
        <v>91</v>
      </c>
      <c r="U418" s="144"/>
    </row>
    <row r="419" spans="1:21">
      <c r="A419">
        <v>417</v>
      </c>
      <c r="B419" t="s">
        <v>453</v>
      </c>
      <c r="C419" t="s">
        <v>304</v>
      </c>
      <c r="D419" t="s">
        <v>1417</v>
      </c>
      <c r="E419" t="s">
        <v>468</v>
      </c>
      <c r="F419" t="s">
        <v>27</v>
      </c>
      <c r="G419" t="s">
        <v>224</v>
      </c>
      <c r="H419" t="s">
        <v>27</v>
      </c>
      <c r="J419" t="s">
        <v>40</v>
      </c>
      <c r="K419" t="s">
        <v>91</v>
      </c>
      <c r="U419" s="144"/>
    </row>
    <row r="420" spans="1:21">
      <c r="A420">
        <v>418</v>
      </c>
      <c r="B420" t="s">
        <v>453</v>
      </c>
      <c r="C420" t="s">
        <v>305</v>
      </c>
      <c r="D420" t="s">
        <v>1418</v>
      </c>
      <c r="E420" t="s">
        <v>468</v>
      </c>
      <c r="F420" t="s">
        <v>27</v>
      </c>
      <c r="G420" t="s">
        <v>224</v>
      </c>
      <c r="H420" t="s">
        <v>27</v>
      </c>
      <c r="I420">
        <v>2007</v>
      </c>
      <c r="J420" t="s">
        <v>39</v>
      </c>
      <c r="K420" t="s">
        <v>91</v>
      </c>
      <c r="M420" t="s">
        <v>91</v>
      </c>
      <c r="N420">
        <v>1</v>
      </c>
      <c r="O420">
        <v>0</v>
      </c>
      <c r="P420" t="s">
        <v>91</v>
      </c>
      <c r="Q420">
        <v>1</v>
      </c>
      <c r="R420" t="s">
        <v>947</v>
      </c>
      <c r="S420" t="s">
        <v>91</v>
      </c>
      <c r="T420" t="s">
        <v>91</v>
      </c>
      <c r="U420" s="144"/>
    </row>
    <row r="421" spans="1:21">
      <c r="A421">
        <v>419</v>
      </c>
      <c r="B421" t="s">
        <v>453</v>
      </c>
      <c r="C421" t="s">
        <v>306</v>
      </c>
      <c r="D421" t="s">
        <v>1419</v>
      </c>
      <c r="E421" t="s">
        <v>468</v>
      </c>
      <c r="F421" t="s">
        <v>27</v>
      </c>
      <c r="G421" t="s">
        <v>224</v>
      </c>
      <c r="H421" t="s">
        <v>27</v>
      </c>
      <c r="I421">
        <v>1947</v>
      </c>
      <c r="J421" t="s">
        <v>40</v>
      </c>
      <c r="K421" t="s">
        <v>91</v>
      </c>
      <c r="M421" t="s">
        <v>91</v>
      </c>
      <c r="N421">
        <v>1</v>
      </c>
      <c r="O421">
        <v>0</v>
      </c>
      <c r="P421" t="s">
        <v>91</v>
      </c>
      <c r="Q421">
        <v>1</v>
      </c>
      <c r="R421" t="s">
        <v>977</v>
      </c>
      <c r="S421" t="s">
        <v>91</v>
      </c>
      <c r="T421" t="s">
        <v>91</v>
      </c>
      <c r="U421" s="144"/>
    </row>
    <row r="422" spans="1:21">
      <c r="A422">
        <v>420</v>
      </c>
      <c r="B422" t="s">
        <v>453</v>
      </c>
      <c r="C422" t="s">
        <v>315</v>
      </c>
      <c r="D422" t="s">
        <v>1421</v>
      </c>
      <c r="E422" t="s">
        <v>468</v>
      </c>
      <c r="F422" t="s">
        <v>27</v>
      </c>
      <c r="G422" t="s">
        <v>224</v>
      </c>
      <c r="H422" t="s">
        <v>222</v>
      </c>
      <c r="I422">
        <v>1960</v>
      </c>
      <c r="J422" t="s">
        <v>40</v>
      </c>
      <c r="K422" t="s">
        <v>91</v>
      </c>
      <c r="M422" t="s">
        <v>91</v>
      </c>
      <c r="N422">
        <v>1</v>
      </c>
      <c r="O422">
        <v>0</v>
      </c>
      <c r="P422" t="s">
        <v>91</v>
      </c>
      <c r="Q422">
        <v>1</v>
      </c>
      <c r="R422" t="s">
        <v>947</v>
      </c>
      <c r="S422" t="s">
        <v>91</v>
      </c>
      <c r="T422" t="s">
        <v>91</v>
      </c>
      <c r="U422" s="144"/>
    </row>
    <row r="423" spans="1:21">
      <c r="A423">
        <v>421</v>
      </c>
      <c r="B423" t="s">
        <v>453</v>
      </c>
      <c r="C423" t="s">
        <v>293</v>
      </c>
      <c r="D423" t="s">
        <v>1422</v>
      </c>
      <c r="E423" t="s">
        <v>468</v>
      </c>
      <c r="F423" t="s">
        <v>27</v>
      </c>
      <c r="G423" t="s">
        <v>224</v>
      </c>
      <c r="H423" t="s">
        <v>27</v>
      </c>
      <c r="I423">
        <v>1994</v>
      </c>
      <c r="J423" t="s">
        <v>39</v>
      </c>
      <c r="K423" t="s">
        <v>91</v>
      </c>
      <c r="M423" t="s">
        <v>91</v>
      </c>
      <c r="N423">
        <v>1</v>
      </c>
      <c r="O423">
        <v>0</v>
      </c>
      <c r="P423" t="s">
        <v>91</v>
      </c>
      <c r="Q423">
        <v>1</v>
      </c>
      <c r="R423" t="s">
        <v>977</v>
      </c>
      <c r="S423" t="s">
        <v>91</v>
      </c>
      <c r="T423">
        <v>0</v>
      </c>
      <c r="U423" s="144"/>
    </row>
    <row r="424" spans="1:21">
      <c r="A424">
        <v>422</v>
      </c>
      <c r="B424" t="s">
        <v>453</v>
      </c>
      <c r="C424" t="s">
        <v>321</v>
      </c>
      <c r="D424" t="s">
        <v>1423</v>
      </c>
      <c r="E424" t="s">
        <v>468</v>
      </c>
      <c r="F424" t="s">
        <v>27</v>
      </c>
      <c r="G424" t="s">
        <v>224</v>
      </c>
      <c r="H424" t="s">
        <v>240</v>
      </c>
      <c r="I424">
        <v>1990</v>
      </c>
      <c r="J424" t="s">
        <v>39</v>
      </c>
      <c r="K424" t="s">
        <v>91</v>
      </c>
      <c r="M424" t="s">
        <v>91</v>
      </c>
      <c r="N424">
        <v>1</v>
      </c>
      <c r="O424">
        <v>0</v>
      </c>
      <c r="P424" t="s">
        <v>91</v>
      </c>
      <c r="Q424">
        <v>1</v>
      </c>
      <c r="R424" t="s">
        <v>977</v>
      </c>
      <c r="S424" t="s">
        <v>91</v>
      </c>
      <c r="T424" t="s">
        <v>91</v>
      </c>
      <c r="U424" s="144"/>
    </row>
    <row r="425" spans="1:21">
      <c r="A425">
        <v>423</v>
      </c>
      <c r="B425" t="s">
        <v>453</v>
      </c>
      <c r="C425" t="s">
        <v>326</v>
      </c>
      <c r="D425" t="s">
        <v>1425</v>
      </c>
      <c r="E425" t="s">
        <v>468</v>
      </c>
      <c r="F425" t="s">
        <v>27</v>
      </c>
      <c r="G425" t="s">
        <v>224</v>
      </c>
      <c r="H425" t="s">
        <v>469</v>
      </c>
      <c r="I425">
        <v>1958</v>
      </c>
      <c r="J425" t="s">
        <v>40</v>
      </c>
      <c r="K425" t="s">
        <v>91</v>
      </c>
      <c r="M425" t="s">
        <v>91</v>
      </c>
      <c r="N425">
        <v>1</v>
      </c>
      <c r="O425">
        <v>0</v>
      </c>
      <c r="P425" t="s">
        <v>91</v>
      </c>
      <c r="Q425">
        <v>1</v>
      </c>
      <c r="R425" t="s">
        <v>947</v>
      </c>
      <c r="S425" t="s">
        <v>139</v>
      </c>
      <c r="T425">
        <v>0</v>
      </c>
      <c r="U425" s="144"/>
    </row>
    <row r="426" spans="1:21">
      <c r="A426">
        <v>424</v>
      </c>
      <c r="B426" t="s">
        <v>453</v>
      </c>
      <c r="C426" t="s">
        <v>307</v>
      </c>
      <c r="D426" t="s">
        <v>1426</v>
      </c>
      <c r="E426" t="s">
        <v>468</v>
      </c>
      <c r="F426" t="s">
        <v>27</v>
      </c>
      <c r="G426" t="s">
        <v>224</v>
      </c>
      <c r="H426" t="s">
        <v>27</v>
      </c>
      <c r="I426">
        <v>1998</v>
      </c>
      <c r="J426" t="s">
        <v>39</v>
      </c>
      <c r="K426" t="s">
        <v>91</v>
      </c>
      <c r="M426" t="s">
        <v>91</v>
      </c>
      <c r="N426">
        <v>1</v>
      </c>
      <c r="O426">
        <v>0</v>
      </c>
      <c r="P426" t="s">
        <v>91</v>
      </c>
      <c r="Q426">
        <v>1</v>
      </c>
      <c r="R426" t="s">
        <v>951</v>
      </c>
      <c r="S426" t="s">
        <v>91</v>
      </c>
      <c r="T426" t="s">
        <v>91</v>
      </c>
      <c r="U426" s="144"/>
    </row>
    <row r="427" spans="1:21">
      <c r="A427">
        <v>425</v>
      </c>
      <c r="B427" t="s">
        <v>453</v>
      </c>
      <c r="C427" t="s">
        <v>308</v>
      </c>
      <c r="D427" t="s">
        <v>1427</v>
      </c>
      <c r="E427" t="s">
        <v>468</v>
      </c>
      <c r="F427" t="s">
        <v>27</v>
      </c>
      <c r="G427" t="s">
        <v>224</v>
      </c>
      <c r="H427" t="s">
        <v>27</v>
      </c>
      <c r="I427">
        <v>1995</v>
      </c>
      <c r="J427" t="s">
        <v>39</v>
      </c>
      <c r="K427" t="s">
        <v>91</v>
      </c>
      <c r="M427" t="s">
        <v>91</v>
      </c>
      <c r="N427">
        <v>1</v>
      </c>
      <c r="O427">
        <v>0</v>
      </c>
      <c r="P427" t="s">
        <v>91</v>
      </c>
      <c r="Q427">
        <v>1</v>
      </c>
      <c r="R427" t="s">
        <v>947</v>
      </c>
      <c r="S427" t="s">
        <v>91</v>
      </c>
      <c r="T427" t="s">
        <v>91</v>
      </c>
      <c r="U427" s="144"/>
    </row>
    <row r="428" spans="1:21">
      <c r="A428">
        <v>426</v>
      </c>
      <c r="B428" t="s">
        <v>453</v>
      </c>
      <c r="C428" t="s">
        <v>309</v>
      </c>
      <c r="D428" t="s">
        <v>1428</v>
      </c>
      <c r="E428" t="s">
        <v>468</v>
      </c>
      <c r="F428" t="s">
        <v>27</v>
      </c>
      <c r="G428" t="s">
        <v>224</v>
      </c>
      <c r="H428" t="s">
        <v>27</v>
      </c>
      <c r="J428" t="s">
        <v>40</v>
      </c>
      <c r="K428" t="s">
        <v>91</v>
      </c>
      <c r="M428" t="s">
        <v>139</v>
      </c>
      <c r="N428">
        <v>0</v>
      </c>
      <c r="O428">
        <v>0</v>
      </c>
      <c r="P428" t="s">
        <v>91</v>
      </c>
      <c r="Q428">
        <v>1</v>
      </c>
      <c r="R428" t="s">
        <v>977</v>
      </c>
      <c r="S428" t="s">
        <v>91</v>
      </c>
      <c r="T428" t="s">
        <v>91</v>
      </c>
      <c r="U428" s="144"/>
    </row>
    <row r="429" spans="1:21">
      <c r="A429">
        <v>427</v>
      </c>
      <c r="B429" t="s">
        <v>453</v>
      </c>
      <c r="C429" t="s">
        <v>310</v>
      </c>
      <c r="D429" t="s">
        <v>1429</v>
      </c>
      <c r="E429" t="s">
        <v>468</v>
      </c>
      <c r="F429" t="s">
        <v>27</v>
      </c>
      <c r="G429" t="s">
        <v>224</v>
      </c>
      <c r="H429" t="s">
        <v>27</v>
      </c>
      <c r="I429">
        <v>1986</v>
      </c>
      <c r="J429" t="s">
        <v>39</v>
      </c>
      <c r="K429" t="s">
        <v>91</v>
      </c>
      <c r="M429" t="s">
        <v>139</v>
      </c>
      <c r="N429">
        <v>0</v>
      </c>
      <c r="O429">
        <v>0</v>
      </c>
      <c r="P429" t="s">
        <v>91</v>
      </c>
      <c r="Q429">
        <v>1</v>
      </c>
      <c r="R429" t="s">
        <v>947</v>
      </c>
      <c r="S429" t="s">
        <v>91</v>
      </c>
      <c r="T429" t="s">
        <v>139</v>
      </c>
      <c r="U429" s="144"/>
    </row>
    <row r="430" spans="1:21">
      <c r="A430">
        <v>428</v>
      </c>
      <c r="B430" t="s">
        <v>453</v>
      </c>
      <c r="C430" t="s">
        <v>311</v>
      </c>
      <c r="D430" t="s">
        <v>1430</v>
      </c>
      <c r="E430" t="s">
        <v>468</v>
      </c>
      <c r="F430" t="s">
        <v>27</v>
      </c>
      <c r="G430" t="s">
        <v>224</v>
      </c>
      <c r="H430" t="s">
        <v>27</v>
      </c>
      <c r="I430">
        <v>1989</v>
      </c>
      <c r="J430" t="s">
        <v>40</v>
      </c>
      <c r="K430" t="s">
        <v>91</v>
      </c>
      <c r="M430" t="s">
        <v>91</v>
      </c>
      <c r="N430">
        <v>1</v>
      </c>
      <c r="O430">
        <v>0</v>
      </c>
      <c r="P430" t="s">
        <v>91</v>
      </c>
      <c r="Q430">
        <v>1</v>
      </c>
      <c r="R430" t="s">
        <v>977</v>
      </c>
      <c r="S430" t="s">
        <v>91</v>
      </c>
      <c r="T430" t="s">
        <v>91</v>
      </c>
      <c r="U430" s="144"/>
    </row>
    <row r="431" spans="1:21">
      <c r="A431">
        <v>429</v>
      </c>
      <c r="B431" t="s">
        <v>453</v>
      </c>
      <c r="C431" t="s">
        <v>316</v>
      </c>
      <c r="D431" t="s">
        <v>1431</v>
      </c>
      <c r="E431" t="s">
        <v>468</v>
      </c>
      <c r="F431" t="s">
        <v>27</v>
      </c>
      <c r="G431" t="s">
        <v>224</v>
      </c>
      <c r="H431" t="s">
        <v>222</v>
      </c>
      <c r="J431" t="s">
        <v>39</v>
      </c>
      <c r="K431" t="s">
        <v>91</v>
      </c>
      <c r="M431" t="s">
        <v>91</v>
      </c>
      <c r="N431">
        <v>1</v>
      </c>
      <c r="O431">
        <v>0</v>
      </c>
      <c r="P431" t="s">
        <v>91</v>
      </c>
      <c r="Q431">
        <v>1</v>
      </c>
      <c r="R431" t="s">
        <v>947</v>
      </c>
      <c r="S431" t="s">
        <v>91</v>
      </c>
      <c r="T431" t="s">
        <v>91</v>
      </c>
      <c r="U431" s="144"/>
    </row>
    <row r="432" spans="1:21">
      <c r="A432">
        <v>430</v>
      </c>
      <c r="B432" t="s">
        <v>453</v>
      </c>
      <c r="C432" t="s">
        <v>294</v>
      </c>
      <c r="D432" t="s">
        <v>1433</v>
      </c>
      <c r="E432" t="s">
        <v>468</v>
      </c>
      <c r="F432" t="s">
        <v>27</v>
      </c>
      <c r="G432" t="s">
        <v>224</v>
      </c>
      <c r="H432" t="s">
        <v>27</v>
      </c>
      <c r="I432">
        <v>1986</v>
      </c>
      <c r="J432" t="s">
        <v>40</v>
      </c>
      <c r="K432" t="s">
        <v>91</v>
      </c>
      <c r="M432" t="s">
        <v>91</v>
      </c>
      <c r="N432">
        <v>1</v>
      </c>
      <c r="O432">
        <v>0</v>
      </c>
      <c r="P432" t="s">
        <v>1434</v>
      </c>
      <c r="Q432">
        <v>0</v>
      </c>
      <c r="R432" t="s">
        <v>977</v>
      </c>
      <c r="S432" t="s">
        <v>91</v>
      </c>
      <c r="T432" t="s">
        <v>139</v>
      </c>
      <c r="U432" s="144"/>
    </row>
    <row r="433" spans="1:21">
      <c r="A433">
        <v>431</v>
      </c>
      <c r="B433" t="s">
        <v>453</v>
      </c>
      <c r="C433" t="s">
        <v>312</v>
      </c>
      <c r="D433" t="s">
        <v>1436</v>
      </c>
      <c r="E433" t="s">
        <v>468</v>
      </c>
      <c r="F433" t="s">
        <v>27</v>
      </c>
      <c r="G433" t="s">
        <v>224</v>
      </c>
      <c r="H433" t="s">
        <v>27</v>
      </c>
      <c r="I433">
        <v>2000</v>
      </c>
      <c r="J433" t="s">
        <v>39</v>
      </c>
      <c r="K433" t="s">
        <v>91</v>
      </c>
      <c r="M433" t="s">
        <v>139</v>
      </c>
      <c r="N433">
        <v>0</v>
      </c>
      <c r="O433">
        <v>0</v>
      </c>
      <c r="P433" t="s">
        <v>91</v>
      </c>
      <c r="Q433">
        <v>1</v>
      </c>
      <c r="R433" t="s">
        <v>947</v>
      </c>
      <c r="S433" t="s">
        <v>91</v>
      </c>
      <c r="T433" t="s">
        <v>91</v>
      </c>
      <c r="U433" s="144"/>
    </row>
    <row r="434" spans="1:21">
      <c r="A434">
        <v>432</v>
      </c>
      <c r="B434" t="s">
        <v>453</v>
      </c>
      <c r="C434" t="s">
        <v>313</v>
      </c>
      <c r="D434" t="s">
        <v>1437</v>
      </c>
      <c r="E434" t="s">
        <v>468</v>
      </c>
      <c r="F434" t="s">
        <v>27</v>
      </c>
      <c r="G434" t="s">
        <v>224</v>
      </c>
      <c r="H434" t="s">
        <v>27</v>
      </c>
      <c r="I434">
        <v>1990</v>
      </c>
      <c r="J434" t="s">
        <v>39</v>
      </c>
      <c r="K434" t="s">
        <v>91</v>
      </c>
      <c r="M434" t="s">
        <v>91</v>
      </c>
      <c r="N434">
        <v>1</v>
      </c>
      <c r="O434">
        <v>0</v>
      </c>
      <c r="P434" t="s">
        <v>91</v>
      </c>
      <c r="Q434">
        <v>1</v>
      </c>
      <c r="R434" t="s">
        <v>947</v>
      </c>
      <c r="S434" t="s">
        <v>91</v>
      </c>
      <c r="T434" t="s">
        <v>91</v>
      </c>
      <c r="U434" s="144"/>
    </row>
    <row r="435" spans="1:21">
      <c r="A435">
        <v>433</v>
      </c>
      <c r="B435" t="s">
        <v>453</v>
      </c>
      <c r="C435" t="s">
        <v>314</v>
      </c>
      <c r="D435" t="s">
        <v>1438</v>
      </c>
      <c r="E435" t="s">
        <v>468</v>
      </c>
      <c r="F435" t="s">
        <v>27</v>
      </c>
      <c r="G435" t="s">
        <v>224</v>
      </c>
      <c r="H435" t="s">
        <v>27</v>
      </c>
      <c r="I435">
        <v>1992</v>
      </c>
      <c r="J435" t="s">
        <v>39</v>
      </c>
      <c r="K435" t="s">
        <v>91</v>
      </c>
      <c r="M435" t="s">
        <v>139</v>
      </c>
      <c r="N435">
        <v>0</v>
      </c>
      <c r="O435">
        <v>0</v>
      </c>
      <c r="P435" t="s">
        <v>91</v>
      </c>
      <c r="Q435">
        <v>1</v>
      </c>
      <c r="R435" t="s">
        <v>947</v>
      </c>
      <c r="S435" t="s">
        <v>91</v>
      </c>
      <c r="T435" t="s">
        <v>91</v>
      </c>
      <c r="U435" s="144"/>
    </row>
    <row r="436" spans="1:21">
      <c r="A436">
        <v>434</v>
      </c>
      <c r="B436" t="s">
        <v>453</v>
      </c>
      <c r="C436" t="s">
        <v>317</v>
      </c>
      <c r="D436" t="s">
        <v>1439</v>
      </c>
      <c r="E436" t="s">
        <v>468</v>
      </c>
      <c r="F436" t="s">
        <v>27</v>
      </c>
      <c r="G436" t="s">
        <v>224</v>
      </c>
      <c r="H436" t="s">
        <v>222</v>
      </c>
      <c r="I436">
        <v>1997</v>
      </c>
      <c r="J436" t="s">
        <v>39</v>
      </c>
      <c r="K436" t="s">
        <v>91</v>
      </c>
      <c r="M436" t="s">
        <v>139</v>
      </c>
      <c r="N436">
        <v>0</v>
      </c>
      <c r="O436">
        <v>0</v>
      </c>
      <c r="P436" t="s">
        <v>91</v>
      </c>
      <c r="Q436">
        <v>1</v>
      </c>
      <c r="R436" t="s">
        <v>977</v>
      </c>
      <c r="S436" t="s">
        <v>91</v>
      </c>
      <c r="T436" t="s">
        <v>91</v>
      </c>
      <c r="U436" s="144"/>
    </row>
    <row r="437" spans="1:21">
      <c r="A437">
        <v>435</v>
      </c>
      <c r="B437" t="s">
        <v>453</v>
      </c>
      <c r="C437" t="s">
        <v>295</v>
      </c>
      <c r="D437" t="s">
        <v>1440</v>
      </c>
      <c r="E437" t="s">
        <v>468</v>
      </c>
      <c r="F437" t="s">
        <v>27</v>
      </c>
      <c r="G437" t="s">
        <v>224</v>
      </c>
      <c r="H437" t="s">
        <v>27</v>
      </c>
      <c r="I437">
        <v>2002</v>
      </c>
      <c r="J437" t="s">
        <v>39</v>
      </c>
      <c r="K437" t="s">
        <v>91</v>
      </c>
      <c r="M437" t="s">
        <v>91</v>
      </c>
      <c r="N437">
        <v>1</v>
      </c>
      <c r="O437">
        <v>0</v>
      </c>
      <c r="P437" t="s">
        <v>91</v>
      </c>
      <c r="Q437">
        <v>1</v>
      </c>
      <c r="R437" t="s">
        <v>977</v>
      </c>
      <c r="S437" t="s">
        <v>91</v>
      </c>
      <c r="T437" t="s">
        <v>91</v>
      </c>
      <c r="U437" s="144"/>
    </row>
    <row r="438" spans="1:21">
      <c r="A438">
        <v>436</v>
      </c>
      <c r="B438" t="s">
        <v>453</v>
      </c>
      <c r="C438" t="s">
        <v>322</v>
      </c>
      <c r="D438" t="s">
        <v>1441</v>
      </c>
      <c r="E438" t="s">
        <v>468</v>
      </c>
      <c r="F438" t="s">
        <v>27</v>
      </c>
      <c r="G438" t="s">
        <v>224</v>
      </c>
      <c r="H438" t="s">
        <v>240</v>
      </c>
      <c r="I438">
        <v>1990</v>
      </c>
      <c r="J438" t="s">
        <v>39</v>
      </c>
      <c r="K438" t="s">
        <v>91</v>
      </c>
      <c r="M438" t="s">
        <v>91</v>
      </c>
      <c r="N438">
        <v>1</v>
      </c>
      <c r="O438">
        <v>0</v>
      </c>
      <c r="P438" t="s">
        <v>91</v>
      </c>
      <c r="Q438">
        <v>1</v>
      </c>
      <c r="R438" t="s">
        <v>947</v>
      </c>
      <c r="S438" t="s">
        <v>91</v>
      </c>
      <c r="T438" t="s">
        <v>91</v>
      </c>
      <c r="U438" s="144"/>
    </row>
    <row r="439" spans="1:21">
      <c r="A439">
        <v>437</v>
      </c>
      <c r="B439" t="s">
        <v>453</v>
      </c>
      <c r="C439" t="s">
        <v>327</v>
      </c>
      <c r="D439" t="s">
        <v>1443</v>
      </c>
      <c r="E439" t="s">
        <v>468</v>
      </c>
      <c r="F439" t="s">
        <v>27</v>
      </c>
      <c r="G439" t="s">
        <v>224</v>
      </c>
      <c r="H439" t="s">
        <v>469</v>
      </c>
      <c r="I439">
        <v>1995</v>
      </c>
      <c r="J439" t="s">
        <v>39</v>
      </c>
      <c r="K439" t="s">
        <v>91</v>
      </c>
      <c r="U439" s="144"/>
    </row>
    <row r="440" spans="1:21">
      <c r="A440">
        <v>438</v>
      </c>
      <c r="B440" t="s">
        <v>453</v>
      </c>
      <c r="C440" t="s">
        <v>296</v>
      </c>
      <c r="D440" t="s">
        <v>1444</v>
      </c>
      <c r="E440" t="s">
        <v>468</v>
      </c>
      <c r="F440" t="s">
        <v>27</v>
      </c>
      <c r="G440" t="s">
        <v>224</v>
      </c>
      <c r="H440" t="s">
        <v>27</v>
      </c>
      <c r="I440">
        <v>1982</v>
      </c>
      <c r="J440" t="s">
        <v>40</v>
      </c>
      <c r="K440" t="s">
        <v>91</v>
      </c>
      <c r="M440" t="s">
        <v>139</v>
      </c>
      <c r="N440">
        <v>0</v>
      </c>
      <c r="O440">
        <v>0</v>
      </c>
      <c r="P440" t="s">
        <v>91</v>
      </c>
      <c r="Q440">
        <v>1</v>
      </c>
      <c r="R440" t="s">
        <v>977</v>
      </c>
      <c r="S440" t="s">
        <v>91</v>
      </c>
      <c r="T440" t="s">
        <v>139</v>
      </c>
      <c r="U440" s="144"/>
    </row>
    <row r="441" spans="1:21">
      <c r="A441">
        <v>439</v>
      </c>
      <c r="B441" t="s">
        <v>453</v>
      </c>
      <c r="C441" t="s">
        <v>318</v>
      </c>
      <c r="D441" t="s">
        <v>1445</v>
      </c>
      <c r="E441" t="s">
        <v>468</v>
      </c>
      <c r="F441" t="s">
        <v>27</v>
      </c>
      <c r="G441" t="s">
        <v>224</v>
      </c>
      <c r="H441" t="s">
        <v>222</v>
      </c>
      <c r="I441">
        <v>1980</v>
      </c>
      <c r="J441" t="s">
        <v>40</v>
      </c>
      <c r="K441" t="s">
        <v>91</v>
      </c>
      <c r="M441" t="s">
        <v>91</v>
      </c>
      <c r="N441">
        <v>1</v>
      </c>
      <c r="O441">
        <v>0</v>
      </c>
      <c r="P441" t="s">
        <v>91</v>
      </c>
      <c r="Q441">
        <v>1</v>
      </c>
      <c r="R441" t="s">
        <v>977</v>
      </c>
      <c r="S441" t="s">
        <v>91</v>
      </c>
      <c r="T441" t="s">
        <v>91</v>
      </c>
      <c r="U441" s="144"/>
    </row>
    <row r="442" spans="1:21">
      <c r="A442">
        <v>440</v>
      </c>
      <c r="B442" t="s">
        <v>453</v>
      </c>
      <c r="C442" t="s">
        <v>297</v>
      </c>
      <c r="D442" t="s">
        <v>1446</v>
      </c>
      <c r="E442" t="s">
        <v>468</v>
      </c>
      <c r="F442" t="s">
        <v>27</v>
      </c>
      <c r="G442" t="s">
        <v>224</v>
      </c>
      <c r="H442" t="s">
        <v>27</v>
      </c>
      <c r="I442">
        <v>1937</v>
      </c>
      <c r="J442" t="s">
        <v>40</v>
      </c>
      <c r="K442" t="s">
        <v>91</v>
      </c>
      <c r="M442" t="s">
        <v>139</v>
      </c>
      <c r="N442">
        <v>0</v>
      </c>
      <c r="O442">
        <v>0</v>
      </c>
      <c r="P442" t="s">
        <v>91</v>
      </c>
      <c r="Q442">
        <v>1</v>
      </c>
      <c r="R442" t="s">
        <v>977</v>
      </c>
      <c r="S442" t="s">
        <v>91</v>
      </c>
      <c r="T442">
        <v>0</v>
      </c>
      <c r="U442" s="144"/>
    </row>
    <row r="443" spans="1:21">
      <c r="A443">
        <v>441</v>
      </c>
      <c r="B443" t="s">
        <v>453</v>
      </c>
      <c r="C443" t="s">
        <v>319</v>
      </c>
      <c r="D443" t="s">
        <v>1447</v>
      </c>
      <c r="E443" t="s">
        <v>468</v>
      </c>
      <c r="F443" t="s">
        <v>27</v>
      </c>
      <c r="G443" t="s">
        <v>224</v>
      </c>
      <c r="H443" t="s">
        <v>222</v>
      </c>
      <c r="I443">
        <v>2007</v>
      </c>
      <c r="J443" t="s">
        <v>39</v>
      </c>
      <c r="K443" t="s">
        <v>91</v>
      </c>
      <c r="M443" t="s">
        <v>139</v>
      </c>
      <c r="N443">
        <v>0</v>
      </c>
      <c r="O443">
        <v>0</v>
      </c>
      <c r="P443" t="s">
        <v>139</v>
      </c>
      <c r="Q443">
        <v>0</v>
      </c>
      <c r="R443" t="s">
        <v>947</v>
      </c>
      <c r="S443" t="s">
        <v>91</v>
      </c>
      <c r="T443" t="s">
        <v>91</v>
      </c>
      <c r="U443" s="144"/>
    </row>
    <row r="444" spans="1:21">
      <c r="A444">
        <v>442</v>
      </c>
      <c r="B444" t="s">
        <v>453</v>
      </c>
      <c r="C444" t="s">
        <v>298</v>
      </c>
      <c r="D444" t="s">
        <v>1448</v>
      </c>
      <c r="E444" t="s">
        <v>468</v>
      </c>
      <c r="F444" t="s">
        <v>27</v>
      </c>
      <c r="G444" t="s">
        <v>224</v>
      </c>
      <c r="H444" t="s">
        <v>27</v>
      </c>
      <c r="I444">
        <v>1984</v>
      </c>
      <c r="J444" t="s">
        <v>39</v>
      </c>
      <c r="K444" t="s">
        <v>91</v>
      </c>
      <c r="M444" t="s">
        <v>139</v>
      </c>
      <c r="N444">
        <v>0</v>
      </c>
      <c r="O444">
        <v>0</v>
      </c>
      <c r="P444" t="s">
        <v>91</v>
      </c>
      <c r="Q444">
        <v>1</v>
      </c>
      <c r="R444" t="s">
        <v>947</v>
      </c>
      <c r="S444" t="s">
        <v>91</v>
      </c>
      <c r="T444" t="s">
        <v>91</v>
      </c>
      <c r="U444" s="144"/>
    </row>
    <row r="445" spans="1:21">
      <c r="A445">
        <v>443</v>
      </c>
      <c r="B445" t="s">
        <v>453</v>
      </c>
      <c r="C445" t="s">
        <v>299</v>
      </c>
      <c r="D445" t="s">
        <v>1449</v>
      </c>
      <c r="E445" t="s">
        <v>468</v>
      </c>
      <c r="F445" t="s">
        <v>27</v>
      </c>
      <c r="G445" t="s">
        <v>224</v>
      </c>
      <c r="H445" t="s">
        <v>27</v>
      </c>
      <c r="I445">
        <v>2007</v>
      </c>
      <c r="J445" t="s">
        <v>40</v>
      </c>
      <c r="K445" t="s">
        <v>91</v>
      </c>
      <c r="U445" s="144"/>
    </row>
    <row r="446" spans="1:21">
      <c r="A446">
        <v>444</v>
      </c>
      <c r="B446" t="s">
        <v>453</v>
      </c>
      <c r="C446" t="s">
        <v>300</v>
      </c>
      <c r="D446" t="s">
        <v>1450</v>
      </c>
      <c r="E446" t="s">
        <v>468</v>
      </c>
      <c r="F446" t="s">
        <v>27</v>
      </c>
      <c r="G446" t="s">
        <v>224</v>
      </c>
      <c r="H446" t="s">
        <v>27</v>
      </c>
      <c r="I446">
        <v>1973</v>
      </c>
      <c r="J446" t="s">
        <v>39</v>
      </c>
      <c r="K446" t="s">
        <v>139</v>
      </c>
      <c r="M446" t="s">
        <v>91</v>
      </c>
      <c r="N446">
        <v>1</v>
      </c>
      <c r="O446">
        <v>0</v>
      </c>
      <c r="P446" t="s">
        <v>91</v>
      </c>
      <c r="Q446">
        <v>1</v>
      </c>
      <c r="R446" t="s">
        <v>977</v>
      </c>
      <c r="S446" t="s">
        <v>91</v>
      </c>
      <c r="T446">
        <v>0</v>
      </c>
      <c r="U446" s="144"/>
    </row>
    <row r="447" spans="1:21">
      <c r="A447">
        <v>445</v>
      </c>
      <c r="B447" t="s">
        <v>453</v>
      </c>
      <c r="C447" t="s">
        <v>378</v>
      </c>
      <c r="D447" t="s">
        <v>1451</v>
      </c>
      <c r="E447" t="s">
        <v>468</v>
      </c>
      <c r="F447" t="s">
        <v>27</v>
      </c>
      <c r="G447" t="s">
        <v>224</v>
      </c>
      <c r="H447" t="s">
        <v>27</v>
      </c>
      <c r="J447" t="s">
        <v>40</v>
      </c>
      <c r="K447" t="s">
        <v>91</v>
      </c>
      <c r="U447" s="144"/>
    </row>
    <row r="448" spans="1:21">
      <c r="A448">
        <v>446</v>
      </c>
      <c r="B448" t="s">
        <v>453</v>
      </c>
      <c r="C448" t="s">
        <v>379</v>
      </c>
      <c r="D448" t="s">
        <v>1452</v>
      </c>
      <c r="E448" t="s">
        <v>468</v>
      </c>
      <c r="F448" t="s">
        <v>27</v>
      </c>
      <c r="G448" t="s">
        <v>224</v>
      </c>
      <c r="H448" t="s">
        <v>27</v>
      </c>
      <c r="I448">
        <v>2007</v>
      </c>
      <c r="J448" t="s">
        <v>39</v>
      </c>
      <c r="K448" t="s">
        <v>91</v>
      </c>
      <c r="M448" t="s">
        <v>139</v>
      </c>
      <c r="N448">
        <v>0</v>
      </c>
      <c r="O448">
        <v>0</v>
      </c>
      <c r="P448" t="s">
        <v>139</v>
      </c>
      <c r="Q448">
        <v>0</v>
      </c>
      <c r="R448" t="s">
        <v>977</v>
      </c>
      <c r="S448" t="s">
        <v>91</v>
      </c>
      <c r="T448" t="s">
        <v>91</v>
      </c>
      <c r="U448" s="144"/>
    </row>
    <row r="449" spans="1:21">
      <c r="A449">
        <v>447</v>
      </c>
      <c r="B449" t="s">
        <v>453</v>
      </c>
      <c r="C449" t="s">
        <v>331</v>
      </c>
      <c r="D449" t="s">
        <v>1455</v>
      </c>
      <c r="E449" t="s">
        <v>468</v>
      </c>
      <c r="F449" t="s">
        <v>27</v>
      </c>
      <c r="G449" t="s">
        <v>224</v>
      </c>
      <c r="H449" t="s">
        <v>498</v>
      </c>
      <c r="I449">
        <v>1982</v>
      </c>
      <c r="J449" t="s">
        <v>40</v>
      </c>
      <c r="K449" t="s">
        <v>91</v>
      </c>
      <c r="M449" t="s">
        <v>1456</v>
      </c>
      <c r="N449">
        <v>0</v>
      </c>
      <c r="O449">
        <v>0</v>
      </c>
      <c r="P449" t="s">
        <v>91</v>
      </c>
      <c r="Q449">
        <v>1</v>
      </c>
      <c r="R449" t="s">
        <v>947</v>
      </c>
      <c r="S449" t="s">
        <v>91</v>
      </c>
      <c r="T449" t="s">
        <v>91</v>
      </c>
      <c r="U449" s="144"/>
    </row>
    <row r="450" spans="1:21">
      <c r="A450">
        <v>448</v>
      </c>
      <c r="B450" t="s">
        <v>453</v>
      </c>
      <c r="C450" t="s">
        <v>339</v>
      </c>
      <c r="D450" t="s">
        <v>1462</v>
      </c>
      <c r="E450" t="s">
        <v>468</v>
      </c>
      <c r="F450" t="s">
        <v>27</v>
      </c>
      <c r="G450" t="s">
        <v>224</v>
      </c>
      <c r="H450" t="s">
        <v>492</v>
      </c>
      <c r="I450">
        <v>1992</v>
      </c>
      <c r="J450" t="s">
        <v>40</v>
      </c>
      <c r="K450" t="s">
        <v>91</v>
      </c>
      <c r="M450" t="s">
        <v>139</v>
      </c>
      <c r="N450">
        <v>0</v>
      </c>
      <c r="O450">
        <v>0</v>
      </c>
      <c r="P450" t="s">
        <v>91</v>
      </c>
      <c r="Q450">
        <v>1</v>
      </c>
      <c r="R450" t="s">
        <v>947</v>
      </c>
      <c r="S450" t="s">
        <v>91</v>
      </c>
      <c r="T450" t="s">
        <v>91</v>
      </c>
      <c r="U450" s="144"/>
    </row>
    <row r="451" spans="1:21">
      <c r="A451">
        <v>449</v>
      </c>
      <c r="B451" t="s">
        <v>453</v>
      </c>
      <c r="C451" t="s">
        <v>343</v>
      </c>
      <c r="D451" t="s">
        <v>1465</v>
      </c>
      <c r="E451" t="s">
        <v>468</v>
      </c>
      <c r="F451" t="s">
        <v>27</v>
      </c>
      <c r="G451" t="s">
        <v>224</v>
      </c>
      <c r="H451" t="s">
        <v>475</v>
      </c>
      <c r="I451">
        <v>1951</v>
      </c>
      <c r="J451" t="s">
        <v>40</v>
      </c>
      <c r="K451" t="s">
        <v>91</v>
      </c>
      <c r="M451" t="s">
        <v>139</v>
      </c>
      <c r="N451">
        <v>0</v>
      </c>
      <c r="O451">
        <v>0</v>
      </c>
      <c r="P451" t="s">
        <v>91</v>
      </c>
      <c r="Q451">
        <v>1</v>
      </c>
      <c r="R451" t="s">
        <v>947</v>
      </c>
      <c r="S451" t="s">
        <v>91</v>
      </c>
      <c r="T451" t="s">
        <v>91</v>
      </c>
      <c r="U451" s="144"/>
    </row>
    <row r="452" spans="1:21">
      <c r="A452">
        <v>450</v>
      </c>
      <c r="B452" t="s">
        <v>453</v>
      </c>
      <c r="C452" t="s">
        <v>353</v>
      </c>
      <c r="D452" t="s">
        <v>1474</v>
      </c>
      <c r="E452" t="s">
        <v>468</v>
      </c>
      <c r="F452" t="s">
        <v>27</v>
      </c>
      <c r="G452" t="s">
        <v>224</v>
      </c>
      <c r="H452" t="s">
        <v>237</v>
      </c>
      <c r="I452">
        <v>1971</v>
      </c>
      <c r="J452" t="s">
        <v>39</v>
      </c>
      <c r="K452" t="s">
        <v>139</v>
      </c>
      <c r="M452" t="s">
        <v>91</v>
      </c>
      <c r="N452">
        <v>1</v>
      </c>
      <c r="O452">
        <v>0</v>
      </c>
      <c r="P452" t="s">
        <v>91</v>
      </c>
      <c r="Q452">
        <v>1</v>
      </c>
      <c r="R452" t="s">
        <v>947</v>
      </c>
      <c r="S452" t="s">
        <v>91</v>
      </c>
      <c r="T452">
        <v>0</v>
      </c>
      <c r="U452" s="144"/>
    </row>
    <row r="453" spans="1:21">
      <c r="A453">
        <v>451</v>
      </c>
      <c r="B453" t="s">
        <v>453</v>
      </c>
      <c r="C453" t="s">
        <v>354</v>
      </c>
      <c r="D453" t="s">
        <v>1475</v>
      </c>
      <c r="E453" t="s">
        <v>468</v>
      </c>
      <c r="F453" t="s">
        <v>27</v>
      </c>
      <c r="G453" t="s">
        <v>224</v>
      </c>
      <c r="H453" t="s">
        <v>483</v>
      </c>
      <c r="I453">
        <v>1958</v>
      </c>
      <c r="J453" t="s">
        <v>40</v>
      </c>
      <c r="K453" t="s">
        <v>91</v>
      </c>
      <c r="M453" t="s">
        <v>91</v>
      </c>
      <c r="N453">
        <v>1</v>
      </c>
      <c r="O453">
        <v>0</v>
      </c>
      <c r="P453" t="s">
        <v>91</v>
      </c>
      <c r="Q453">
        <v>1</v>
      </c>
      <c r="R453" t="s">
        <v>947</v>
      </c>
      <c r="S453" t="s">
        <v>91</v>
      </c>
      <c r="T453">
        <v>0</v>
      </c>
      <c r="U453" s="144"/>
    </row>
    <row r="454" spans="1:21">
      <c r="A454">
        <v>452</v>
      </c>
      <c r="B454" t="s">
        <v>453</v>
      </c>
      <c r="C454" t="s">
        <v>355</v>
      </c>
      <c r="D454" t="s">
        <v>1476</v>
      </c>
      <c r="E454" t="s">
        <v>468</v>
      </c>
      <c r="F454" t="s">
        <v>27</v>
      </c>
      <c r="G454" t="s">
        <v>224</v>
      </c>
      <c r="H454" t="s">
        <v>471</v>
      </c>
      <c r="I454">
        <v>2004</v>
      </c>
      <c r="J454" t="s">
        <v>40</v>
      </c>
      <c r="K454" t="s">
        <v>91</v>
      </c>
      <c r="M454" t="s">
        <v>1477</v>
      </c>
      <c r="N454">
        <v>0</v>
      </c>
      <c r="O454">
        <v>0</v>
      </c>
      <c r="P454" t="s">
        <v>1478</v>
      </c>
      <c r="Q454">
        <v>0</v>
      </c>
      <c r="R454" t="s">
        <v>947</v>
      </c>
      <c r="S454" t="s">
        <v>91</v>
      </c>
      <c r="T454" t="s">
        <v>91</v>
      </c>
      <c r="U454" s="144"/>
    </row>
    <row r="455" spans="1:21">
      <c r="A455">
        <v>453</v>
      </c>
      <c r="B455" t="s">
        <v>453</v>
      </c>
      <c r="C455" t="s">
        <v>356</v>
      </c>
      <c r="D455" t="s">
        <v>1479</v>
      </c>
      <c r="E455" t="s">
        <v>468</v>
      </c>
      <c r="F455" t="s">
        <v>27</v>
      </c>
      <c r="G455" t="s">
        <v>224</v>
      </c>
      <c r="H455" t="s">
        <v>238</v>
      </c>
      <c r="I455">
        <v>1990</v>
      </c>
      <c r="J455" t="s">
        <v>39</v>
      </c>
      <c r="K455" t="s">
        <v>91</v>
      </c>
      <c r="M455" t="s">
        <v>1480</v>
      </c>
      <c r="N455">
        <v>0</v>
      </c>
      <c r="O455">
        <v>0</v>
      </c>
      <c r="P455" t="s">
        <v>1481</v>
      </c>
      <c r="Q455">
        <v>0</v>
      </c>
      <c r="R455" t="s">
        <v>977</v>
      </c>
      <c r="S455" t="s">
        <v>91</v>
      </c>
      <c r="T455" t="s">
        <v>91</v>
      </c>
      <c r="U455" s="144"/>
    </row>
    <row r="456" spans="1:21">
      <c r="A456">
        <v>454</v>
      </c>
      <c r="B456" t="s">
        <v>453</v>
      </c>
      <c r="C456" t="s">
        <v>363</v>
      </c>
      <c r="D456" t="s">
        <v>1487</v>
      </c>
      <c r="E456" t="s">
        <v>468</v>
      </c>
      <c r="F456" t="s">
        <v>27</v>
      </c>
      <c r="G456" t="s">
        <v>224</v>
      </c>
      <c r="H456" t="s">
        <v>493</v>
      </c>
      <c r="I456">
        <v>1995</v>
      </c>
      <c r="J456" t="s">
        <v>40</v>
      </c>
      <c r="K456" t="s">
        <v>91</v>
      </c>
      <c r="M456" t="s">
        <v>91</v>
      </c>
      <c r="N456">
        <v>1</v>
      </c>
      <c r="O456">
        <v>0</v>
      </c>
      <c r="P456" t="s">
        <v>91</v>
      </c>
      <c r="Q456">
        <v>1</v>
      </c>
      <c r="R456" t="s">
        <v>947</v>
      </c>
      <c r="S456" t="s">
        <v>91</v>
      </c>
      <c r="T456" t="s">
        <v>91</v>
      </c>
      <c r="U456" s="144"/>
    </row>
    <row r="457" spans="1:21">
      <c r="A457">
        <v>455</v>
      </c>
      <c r="B457" t="s">
        <v>453</v>
      </c>
      <c r="C457" t="s">
        <v>364</v>
      </c>
      <c r="D457" t="s">
        <v>1488</v>
      </c>
      <c r="E457" t="s">
        <v>468</v>
      </c>
      <c r="F457" t="s">
        <v>27</v>
      </c>
      <c r="G457" t="s">
        <v>224</v>
      </c>
      <c r="H457" t="s">
        <v>242</v>
      </c>
      <c r="I457">
        <v>1952</v>
      </c>
      <c r="J457" t="s">
        <v>40</v>
      </c>
      <c r="K457" t="s">
        <v>91</v>
      </c>
      <c r="M457" t="s">
        <v>91</v>
      </c>
      <c r="N457">
        <v>1</v>
      </c>
      <c r="O457">
        <v>0</v>
      </c>
      <c r="P457" t="s">
        <v>91</v>
      </c>
      <c r="Q457">
        <v>1</v>
      </c>
      <c r="R457" t="s">
        <v>947</v>
      </c>
      <c r="S457" t="s">
        <v>91</v>
      </c>
      <c r="T457">
        <v>0</v>
      </c>
      <c r="U457" s="144"/>
    </row>
    <row r="458" spans="1:21">
      <c r="A458">
        <v>456</v>
      </c>
      <c r="B458" t="s">
        <v>453</v>
      </c>
      <c r="C458" t="s">
        <v>366</v>
      </c>
      <c r="D458" t="s">
        <v>1490</v>
      </c>
      <c r="E458" t="s">
        <v>468</v>
      </c>
      <c r="F458" t="s">
        <v>27</v>
      </c>
      <c r="G458" t="s">
        <v>224</v>
      </c>
      <c r="H458" t="s">
        <v>486</v>
      </c>
      <c r="I458">
        <v>1991</v>
      </c>
      <c r="J458" t="s">
        <v>40</v>
      </c>
      <c r="K458" t="s">
        <v>91</v>
      </c>
      <c r="M458" t="s">
        <v>1491</v>
      </c>
      <c r="N458">
        <v>1</v>
      </c>
      <c r="O458">
        <v>0</v>
      </c>
      <c r="P458" t="s">
        <v>1492</v>
      </c>
      <c r="Q458">
        <v>0</v>
      </c>
      <c r="R458" t="s">
        <v>977</v>
      </c>
      <c r="S458" t="s">
        <v>91</v>
      </c>
      <c r="T458" t="s">
        <v>91</v>
      </c>
      <c r="U458" s="144"/>
    </row>
    <row r="459" spans="1:21">
      <c r="A459">
        <v>457</v>
      </c>
      <c r="B459" t="s">
        <v>453</v>
      </c>
      <c r="C459" t="s">
        <v>367</v>
      </c>
      <c r="D459" t="s">
        <v>1493</v>
      </c>
      <c r="E459" t="s">
        <v>468</v>
      </c>
      <c r="F459" t="s">
        <v>27</v>
      </c>
      <c r="G459" t="s">
        <v>224</v>
      </c>
      <c r="H459" t="s">
        <v>494</v>
      </c>
      <c r="I459">
        <v>1936</v>
      </c>
      <c r="J459" t="s">
        <v>40</v>
      </c>
      <c r="K459" t="s">
        <v>91</v>
      </c>
      <c r="M459" t="s">
        <v>91</v>
      </c>
      <c r="N459">
        <v>1</v>
      </c>
      <c r="O459">
        <v>0</v>
      </c>
      <c r="P459" t="s">
        <v>91</v>
      </c>
      <c r="Q459">
        <v>1</v>
      </c>
      <c r="R459" t="s">
        <v>947</v>
      </c>
      <c r="S459" t="s">
        <v>91</v>
      </c>
      <c r="T459" t="s">
        <v>91</v>
      </c>
      <c r="U459" s="144"/>
    </row>
    <row r="460" spans="1:21">
      <c r="A460">
        <v>458</v>
      </c>
      <c r="B460" t="s">
        <v>453</v>
      </c>
      <c r="C460" t="s">
        <v>371</v>
      </c>
      <c r="D460" t="s">
        <v>1496</v>
      </c>
      <c r="E460" t="s">
        <v>468</v>
      </c>
      <c r="F460" t="s">
        <v>27</v>
      </c>
      <c r="G460" t="s">
        <v>224</v>
      </c>
      <c r="H460" t="s">
        <v>239</v>
      </c>
      <c r="I460">
        <v>1986</v>
      </c>
      <c r="J460" t="s">
        <v>40</v>
      </c>
      <c r="K460" t="s">
        <v>91</v>
      </c>
      <c r="M460" t="s">
        <v>91</v>
      </c>
      <c r="N460">
        <v>1</v>
      </c>
      <c r="O460">
        <v>0</v>
      </c>
      <c r="P460" t="s">
        <v>91</v>
      </c>
      <c r="Q460">
        <v>1</v>
      </c>
      <c r="R460" t="s">
        <v>977</v>
      </c>
      <c r="S460" t="s">
        <v>91</v>
      </c>
      <c r="T460" t="s">
        <v>139</v>
      </c>
      <c r="U460" s="144"/>
    </row>
    <row r="461" spans="1:21">
      <c r="A461">
        <v>459</v>
      </c>
      <c r="B461" t="s">
        <v>453</v>
      </c>
      <c r="C461" t="s">
        <v>372</v>
      </c>
      <c r="D461" t="s">
        <v>1497</v>
      </c>
      <c r="E461" t="s">
        <v>468</v>
      </c>
      <c r="F461" t="s">
        <v>27</v>
      </c>
      <c r="G461" t="s">
        <v>224</v>
      </c>
      <c r="H461" t="s">
        <v>332</v>
      </c>
      <c r="I461">
        <v>1990</v>
      </c>
      <c r="J461" t="s">
        <v>39</v>
      </c>
      <c r="K461" t="s">
        <v>91</v>
      </c>
      <c r="M461" t="s">
        <v>139</v>
      </c>
      <c r="N461">
        <v>0</v>
      </c>
      <c r="O461">
        <v>0</v>
      </c>
      <c r="P461" t="s">
        <v>91</v>
      </c>
      <c r="Q461">
        <v>1</v>
      </c>
      <c r="R461" t="s">
        <v>977</v>
      </c>
      <c r="S461" t="s">
        <v>91</v>
      </c>
      <c r="T461" t="s">
        <v>91</v>
      </c>
      <c r="U461" s="144"/>
    </row>
    <row r="462" spans="1:21">
      <c r="A462">
        <v>460</v>
      </c>
      <c r="B462" t="s">
        <v>453</v>
      </c>
      <c r="C462" t="s">
        <v>373</v>
      </c>
      <c r="D462" t="s">
        <v>1498</v>
      </c>
      <c r="E462" t="s">
        <v>468</v>
      </c>
      <c r="F462" t="s">
        <v>27</v>
      </c>
      <c r="G462" t="s">
        <v>224</v>
      </c>
      <c r="H462" t="s">
        <v>495</v>
      </c>
      <c r="I462">
        <v>1967</v>
      </c>
      <c r="J462" t="s">
        <v>40</v>
      </c>
      <c r="K462" t="s">
        <v>91</v>
      </c>
      <c r="M462" t="s">
        <v>91</v>
      </c>
      <c r="N462">
        <v>1</v>
      </c>
      <c r="O462">
        <v>0</v>
      </c>
      <c r="P462" t="s">
        <v>91</v>
      </c>
      <c r="Q462">
        <v>1</v>
      </c>
      <c r="R462" t="s">
        <v>947</v>
      </c>
      <c r="S462" t="s">
        <v>91</v>
      </c>
      <c r="T462" t="s">
        <v>91</v>
      </c>
      <c r="U462" s="144"/>
    </row>
    <row r="463" spans="1:21">
      <c r="A463">
        <v>461</v>
      </c>
      <c r="B463" t="s">
        <v>453</v>
      </c>
      <c r="C463" t="s">
        <v>376</v>
      </c>
      <c r="D463" t="s">
        <v>1501</v>
      </c>
      <c r="E463" t="s">
        <v>468</v>
      </c>
      <c r="F463" t="s">
        <v>27</v>
      </c>
      <c r="G463" t="s">
        <v>224</v>
      </c>
      <c r="H463" t="s">
        <v>244</v>
      </c>
      <c r="I463">
        <v>2006</v>
      </c>
      <c r="J463" t="s">
        <v>39</v>
      </c>
      <c r="K463" t="s">
        <v>91</v>
      </c>
      <c r="M463" t="s">
        <v>139</v>
      </c>
      <c r="N463">
        <v>0</v>
      </c>
      <c r="O463">
        <v>0</v>
      </c>
      <c r="P463" t="s">
        <v>139</v>
      </c>
      <c r="Q463">
        <v>0</v>
      </c>
      <c r="R463" t="s">
        <v>947</v>
      </c>
      <c r="S463" t="s">
        <v>91</v>
      </c>
      <c r="T463">
        <v>0</v>
      </c>
      <c r="U463" s="144"/>
    </row>
    <row r="464" spans="1:21">
      <c r="A464">
        <v>462</v>
      </c>
      <c r="B464" t="s">
        <v>453</v>
      </c>
      <c r="C464" t="s">
        <v>323</v>
      </c>
      <c r="D464" t="s">
        <v>1424</v>
      </c>
      <c r="E464" t="s">
        <v>468</v>
      </c>
      <c r="F464" t="s">
        <v>27</v>
      </c>
      <c r="G464" t="s">
        <v>229</v>
      </c>
      <c r="H464" t="s">
        <v>229</v>
      </c>
      <c r="I464">
        <v>1994</v>
      </c>
      <c r="J464" t="s">
        <v>40</v>
      </c>
      <c r="K464" t="s">
        <v>91</v>
      </c>
      <c r="M464" t="s">
        <v>91</v>
      </c>
      <c r="N464">
        <v>1</v>
      </c>
      <c r="O464">
        <v>0</v>
      </c>
      <c r="P464" t="s">
        <v>91</v>
      </c>
      <c r="Q464">
        <v>1</v>
      </c>
      <c r="R464" t="s">
        <v>947</v>
      </c>
      <c r="S464" t="s">
        <v>139</v>
      </c>
      <c r="T464" t="s">
        <v>91</v>
      </c>
      <c r="U464" s="144"/>
    </row>
    <row r="465" spans="1:21">
      <c r="A465">
        <v>463</v>
      </c>
      <c r="B465" t="s">
        <v>453</v>
      </c>
      <c r="C465" t="s">
        <v>324</v>
      </c>
      <c r="D465" t="s">
        <v>1435</v>
      </c>
      <c r="E465" t="s">
        <v>468</v>
      </c>
      <c r="F465" t="s">
        <v>27</v>
      </c>
      <c r="G465" t="s">
        <v>229</v>
      </c>
      <c r="H465" t="s">
        <v>229</v>
      </c>
      <c r="I465">
        <v>1951</v>
      </c>
      <c r="J465" t="s">
        <v>39</v>
      </c>
      <c r="K465" t="s">
        <v>91</v>
      </c>
      <c r="M465" t="s">
        <v>91</v>
      </c>
      <c r="N465">
        <v>1</v>
      </c>
      <c r="O465">
        <v>0</v>
      </c>
      <c r="P465" t="s">
        <v>91</v>
      </c>
      <c r="Q465">
        <v>1</v>
      </c>
      <c r="R465" t="s">
        <v>947</v>
      </c>
      <c r="S465" t="s">
        <v>139</v>
      </c>
      <c r="T465">
        <v>0</v>
      </c>
      <c r="U465" s="144"/>
    </row>
    <row r="466" spans="1:21">
      <c r="A466">
        <v>464</v>
      </c>
      <c r="B466" t="s">
        <v>453</v>
      </c>
      <c r="C466" t="s">
        <v>325</v>
      </c>
      <c r="D466" t="s">
        <v>1442</v>
      </c>
      <c r="E466" t="s">
        <v>468</v>
      </c>
      <c r="F466" t="s">
        <v>27</v>
      </c>
      <c r="G466" t="s">
        <v>229</v>
      </c>
      <c r="H466" t="s">
        <v>229</v>
      </c>
      <c r="I466">
        <v>1950</v>
      </c>
      <c r="J466" t="s">
        <v>40</v>
      </c>
      <c r="K466" t="s">
        <v>91</v>
      </c>
      <c r="M466" t="s">
        <v>91</v>
      </c>
      <c r="N466">
        <v>1</v>
      </c>
      <c r="O466">
        <v>0</v>
      </c>
      <c r="P466" t="s">
        <v>91</v>
      </c>
      <c r="Q466">
        <v>1</v>
      </c>
      <c r="R466" t="s">
        <v>947</v>
      </c>
      <c r="S466" t="s">
        <v>139</v>
      </c>
      <c r="T466" t="s">
        <v>91</v>
      </c>
      <c r="U466" s="144"/>
    </row>
    <row r="467" spans="1:21">
      <c r="A467">
        <v>465</v>
      </c>
      <c r="B467" t="s">
        <v>453</v>
      </c>
      <c r="C467" t="s">
        <v>341</v>
      </c>
      <c r="D467" t="s">
        <v>1464</v>
      </c>
      <c r="E467" t="s">
        <v>468</v>
      </c>
      <c r="F467" t="s">
        <v>27</v>
      </c>
      <c r="G467" t="s">
        <v>229</v>
      </c>
      <c r="H467" t="s">
        <v>342</v>
      </c>
      <c r="I467">
        <v>1954</v>
      </c>
      <c r="J467" t="s">
        <v>40</v>
      </c>
      <c r="K467" t="s">
        <v>91</v>
      </c>
      <c r="U467" s="144"/>
    </row>
    <row r="468" spans="1:21">
      <c r="A468">
        <v>466</v>
      </c>
      <c r="B468" t="s">
        <v>453</v>
      </c>
      <c r="C468" t="s">
        <v>351</v>
      </c>
      <c r="D468" t="s">
        <v>1472</v>
      </c>
      <c r="E468" t="s">
        <v>468</v>
      </c>
      <c r="F468" t="s">
        <v>27</v>
      </c>
      <c r="G468" t="s">
        <v>229</v>
      </c>
      <c r="H468" t="s">
        <v>229</v>
      </c>
      <c r="I468">
        <v>1986</v>
      </c>
      <c r="J468" t="s">
        <v>39</v>
      </c>
      <c r="K468" t="s">
        <v>91</v>
      </c>
      <c r="U468" s="144"/>
    </row>
    <row r="469" spans="1:21">
      <c r="A469">
        <v>467</v>
      </c>
      <c r="B469" t="s">
        <v>453</v>
      </c>
      <c r="C469" t="s">
        <v>333</v>
      </c>
      <c r="D469" t="s">
        <v>1457</v>
      </c>
      <c r="E469" t="s">
        <v>468</v>
      </c>
      <c r="F469" t="s">
        <v>27</v>
      </c>
      <c r="G469" t="s">
        <v>227</v>
      </c>
      <c r="H469" t="s">
        <v>472</v>
      </c>
      <c r="I469">
        <v>1994</v>
      </c>
      <c r="J469" t="s">
        <v>39</v>
      </c>
      <c r="K469" t="s">
        <v>91</v>
      </c>
      <c r="M469" t="s">
        <v>91</v>
      </c>
      <c r="N469">
        <v>1</v>
      </c>
      <c r="O469">
        <v>0</v>
      </c>
      <c r="P469" t="s">
        <v>91</v>
      </c>
      <c r="Q469">
        <v>1</v>
      </c>
      <c r="R469" t="s">
        <v>947</v>
      </c>
      <c r="S469" t="s">
        <v>139</v>
      </c>
      <c r="T469" t="s">
        <v>91</v>
      </c>
      <c r="U469" s="144"/>
    </row>
    <row r="470" spans="1:21">
      <c r="A470">
        <v>468</v>
      </c>
      <c r="B470" t="s">
        <v>453</v>
      </c>
      <c r="C470" t="s">
        <v>336</v>
      </c>
      <c r="D470" t="s">
        <v>1459</v>
      </c>
      <c r="E470" t="s">
        <v>468</v>
      </c>
      <c r="F470" t="s">
        <v>27</v>
      </c>
      <c r="G470" t="s">
        <v>227</v>
      </c>
      <c r="H470" t="s">
        <v>473</v>
      </c>
      <c r="I470">
        <v>1963</v>
      </c>
      <c r="J470" t="s">
        <v>40</v>
      </c>
      <c r="K470" t="s">
        <v>91</v>
      </c>
      <c r="U470" s="144"/>
    </row>
    <row r="471" spans="1:21">
      <c r="A471">
        <v>469</v>
      </c>
      <c r="B471" t="s">
        <v>453</v>
      </c>
      <c r="C471" t="s">
        <v>358</v>
      </c>
      <c r="D471" t="s">
        <v>1483</v>
      </c>
      <c r="E471" t="s">
        <v>468</v>
      </c>
      <c r="F471" t="s">
        <v>27</v>
      </c>
      <c r="G471" t="s">
        <v>227</v>
      </c>
      <c r="H471" t="s">
        <v>227</v>
      </c>
      <c r="I471">
        <v>1991</v>
      </c>
      <c r="J471" t="s">
        <v>40</v>
      </c>
      <c r="K471" t="s">
        <v>91</v>
      </c>
      <c r="M471" t="s">
        <v>91</v>
      </c>
      <c r="N471">
        <v>1</v>
      </c>
      <c r="O471">
        <v>0</v>
      </c>
      <c r="P471" t="s">
        <v>91</v>
      </c>
      <c r="Q471">
        <v>1</v>
      </c>
      <c r="R471" t="s">
        <v>947</v>
      </c>
      <c r="S471" t="s">
        <v>139</v>
      </c>
      <c r="T471" t="s">
        <v>91</v>
      </c>
      <c r="U471" s="144"/>
    </row>
    <row r="472" spans="1:21">
      <c r="A472">
        <v>470</v>
      </c>
      <c r="B472" t="s">
        <v>453</v>
      </c>
      <c r="C472" t="s">
        <v>359</v>
      </c>
      <c r="D472" t="s">
        <v>1484</v>
      </c>
      <c r="E472" t="s">
        <v>468</v>
      </c>
      <c r="F472" t="s">
        <v>27</v>
      </c>
      <c r="G472" t="s">
        <v>227</v>
      </c>
      <c r="H472" t="s">
        <v>360</v>
      </c>
      <c r="I472">
        <v>1958</v>
      </c>
      <c r="J472" t="s">
        <v>40</v>
      </c>
      <c r="K472" t="s">
        <v>91</v>
      </c>
      <c r="M472" t="s">
        <v>91</v>
      </c>
      <c r="N472">
        <v>1</v>
      </c>
      <c r="O472">
        <v>0</v>
      </c>
      <c r="P472" t="s">
        <v>91</v>
      </c>
      <c r="Q472">
        <v>1</v>
      </c>
      <c r="R472" t="s">
        <v>947</v>
      </c>
      <c r="S472" t="s">
        <v>139</v>
      </c>
      <c r="T472" t="s">
        <v>91</v>
      </c>
      <c r="U472" s="144"/>
    </row>
    <row r="473" spans="1:21">
      <c r="A473">
        <v>471</v>
      </c>
      <c r="B473" t="s">
        <v>453</v>
      </c>
      <c r="C473" t="s">
        <v>362</v>
      </c>
      <c r="D473" t="s">
        <v>1486</v>
      </c>
      <c r="E473" t="s">
        <v>468</v>
      </c>
      <c r="F473" t="s">
        <v>27</v>
      </c>
      <c r="G473" t="s">
        <v>227</v>
      </c>
      <c r="H473" t="s">
        <v>502</v>
      </c>
      <c r="J473" t="s">
        <v>40</v>
      </c>
      <c r="K473" t="s">
        <v>91</v>
      </c>
      <c r="M473" t="s">
        <v>91</v>
      </c>
      <c r="N473">
        <v>1</v>
      </c>
      <c r="O473">
        <v>0</v>
      </c>
      <c r="P473" t="s">
        <v>91</v>
      </c>
      <c r="Q473">
        <v>1</v>
      </c>
      <c r="R473" t="s">
        <v>947</v>
      </c>
      <c r="S473" t="s">
        <v>139</v>
      </c>
      <c r="T473" t="s">
        <v>91</v>
      </c>
      <c r="U473" s="144"/>
    </row>
    <row r="474" spans="1:21">
      <c r="A474">
        <v>472</v>
      </c>
      <c r="B474" t="s">
        <v>453</v>
      </c>
      <c r="C474" t="s">
        <v>377</v>
      </c>
      <c r="D474" t="s">
        <v>1502</v>
      </c>
      <c r="E474" t="s">
        <v>468</v>
      </c>
      <c r="F474" t="s">
        <v>27</v>
      </c>
      <c r="G474" t="s">
        <v>227</v>
      </c>
      <c r="H474" t="s">
        <v>233</v>
      </c>
      <c r="I474">
        <v>1954</v>
      </c>
      <c r="J474" t="s">
        <v>40</v>
      </c>
      <c r="K474" t="s">
        <v>91</v>
      </c>
      <c r="M474" t="s">
        <v>91</v>
      </c>
      <c r="N474">
        <v>1</v>
      </c>
      <c r="O474">
        <v>0</v>
      </c>
      <c r="P474" t="s">
        <v>91</v>
      </c>
      <c r="Q474">
        <v>1</v>
      </c>
      <c r="R474" t="s">
        <v>1503</v>
      </c>
      <c r="S474" t="s">
        <v>139</v>
      </c>
      <c r="T474">
        <v>0</v>
      </c>
      <c r="U474" s="144"/>
    </row>
    <row r="475" spans="1:21">
      <c r="A475">
        <v>473</v>
      </c>
      <c r="B475" t="s">
        <v>453</v>
      </c>
      <c r="C475" t="s">
        <v>340</v>
      </c>
      <c r="D475" t="s">
        <v>1463</v>
      </c>
      <c r="E475" t="s">
        <v>468</v>
      </c>
      <c r="F475" t="s">
        <v>27</v>
      </c>
      <c r="G475" t="s">
        <v>225</v>
      </c>
      <c r="H475" t="s">
        <v>235</v>
      </c>
      <c r="I475">
        <v>1991</v>
      </c>
      <c r="J475" t="s">
        <v>39</v>
      </c>
      <c r="K475" t="s">
        <v>91</v>
      </c>
      <c r="U475" s="144"/>
    </row>
    <row r="476" spans="1:21">
      <c r="A476">
        <v>474</v>
      </c>
      <c r="B476" t="s">
        <v>453</v>
      </c>
      <c r="C476" t="s">
        <v>347</v>
      </c>
      <c r="D476" t="s">
        <v>1469</v>
      </c>
      <c r="E476" t="s">
        <v>468</v>
      </c>
      <c r="F476" t="s">
        <v>27</v>
      </c>
      <c r="G476" t="s">
        <v>225</v>
      </c>
      <c r="H476" t="s">
        <v>348</v>
      </c>
      <c r="I476">
        <v>1982</v>
      </c>
      <c r="J476" t="s">
        <v>40</v>
      </c>
      <c r="K476" t="s">
        <v>91</v>
      </c>
      <c r="M476" t="s">
        <v>139</v>
      </c>
      <c r="N476">
        <v>0</v>
      </c>
      <c r="O476">
        <v>0</v>
      </c>
      <c r="P476" t="s">
        <v>91</v>
      </c>
      <c r="Q476">
        <v>1</v>
      </c>
      <c r="R476" t="s">
        <v>947</v>
      </c>
      <c r="S476" t="s">
        <v>139</v>
      </c>
      <c r="T476" t="s">
        <v>91</v>
      </c>
      <c r="U476" s="144"/>
    </row>
    <row r="477" spans="1:21">
      <c r="A477">
        <v>475</v>
      </c>
      <c r="B477" t="s">
        <v>453</v>
      </c>
      <c r="C477" t="s">
        <v>350</v>
      </c>
      <c r="D477" t="s">
        <v>1471</v>
      </c>
      <c r="E477" t="s">
        <v>468</v>
      </c>
      <c r="F477" t="s">
        <v>27</v>
      </c>
      <c r="G477" t="s">
        <v>225</v>
      </c>
      <c r="H477" t="s">
        <v>479</v>
      </c>
      <c r="I477">
        <v>1927</v>
      </c>
      <c r="J477" t="s">
        <v>40</v>
      </c>
      <c r="K477" t="s">
        <v>91</v>
      </c>
      <c r="M477" t="s">
        <v>91</v>
      </c>
      <c r="N477">
        <v>1</v>
      </c>
      <c r="O477">
        <v>0</v>
      </c>
      <c r="P477" t="s">
        <v>91</v>
      </c>
      <c r="Q477">
        <v>1</v>
      </c>
      <c r="R477" t="s">
        <v>947</v>
      </c>
      <c r="S477" t="s">
        <v>139</v>
      </c>
      <c r="T477" t="s">
        <v>91</v>
      </c>
      <c r="U477" s="144"/>
    </row>
    <row r="478" spans="1:21">
      <c r="A478">
        <v>476</v>
      </c>
      <c r="B478" t="s">
        <v>453</v>
      </c>
      <c r="C478" t="s">
        <v>370</v>
      </c>
      <c r="D478" t="s">
        <v>1495</v>
      </c>
      <c r="E478" t="s">
        <v>468</v>
      </c>
      <c r="F478" t="s">
        <v>27</v>
      </c>
      <c r="G478" t="s">
        <v>225</v>
      </c>
      <c r="H478" t="s">
        <v>231</v>
      </c>
      <c r="I478">
        <v>1980</v>
      </c>
      <c r="J478" t="s">
        <v>39</v>
      </c>
      <c r="K478" t="s">
        <v>91</v>
      </c>
      <c r="M478" t="s">
        <v>91</v>
      </c>
      <c r="N478">
        <v>1</v>
      </c>
      <c r="O478">
        <v>0</v>
      </c>
      <c r="P478" t="s">
        <v>91</v>
      </c>
      <c r="Q478">
        <v>1</v>
      </c>
      <c r="R478" t="s">
        <v>947</v>
      </c>
      <c r="S478" t="s">
        <v>91</v>
      </c>
      <c r="T478" t="s">
        <v>91</v>
      </c>
      <c r="U478" s="144"/>
    </row>
    <row r="479" spans="1:21">
      <c r="A479">
        <v>477</v>
      </c>
      <c r="B479" t="s">
        <v>658</v>
      </c>
      <c r="C479" t="s">
        <v>584</v>
      </c>
      <c r="D479" t="s">
        <v>1506</v>
      </c>
      <c r="E479" t="s">
        <v>467</v>
      </c>
      <c r="F479" t="s">
        <v>28</v>
      </c>
      <c r="G479" t="s">
        <v>283</v>
      </c>
      <c r="H479" t="s">
        <v>286</v>
      </c>
      <c r="I479">
        <v>2012</v>
      </c>
      <c r="J479" t="s">
        <v>139</v>
      </c>
      <c r="K479" t="s">
        <v>91</v>
      </c>
      <c r="U479" s="144"/>
    </row>
    <row r="480" spans="1:21">
      <c r="A480">
        <v>478</v>
      </c>
      <c r="B480" t="s">
        <v>658</v>
      </c>
      <c r="C480" t="s">
        <v>586</v>
      </c>
      <c r="D480" t="s">
        <v>1508</v>
      </c>
      <c r="E480" t="s">
        <v>467</v>
      </c>
      <c r="F480" t="s">
        <v>28</v>
      </c>
      <c r="G480" t="s">
        <v>283</v>
      </c>
      <c r="H480" t="s">
        <v>285</v>
      </c>
      <c r="I480">
        <v>2008</v>
      </c>
      <c r="J480" t="s">
        <v>91</v>
      </c>
      <c r="K480" t="s">
        <v>91</v>
      </c>
      <c r="M480" t="s">
        <v>1509</v>
      </c>
      <c r="N480">
        <v>0</v>
      </c>
      <c r="O480">
        <v>1</v>
      </c>
      <c r="P480" t="s">
        <v>91</v>
      </c>
      <c r="Q480">
        <v>1</v>
      </c>
      <c r="R480" t="s">
        <v>1046</v>
      </c>
      <c r="S480" t="s">
        <v>91</v>
      </c>
      <c r="T480" t="s">
        <v>139</v>
      </c>
      <c r="U480" s="144" t="s">
        <v>292</v>
      </c>
    </row>
    <row r="481" spans="1:21">
      <c r="A481">
        <v>479</v>
      </c>
      <c r="B481" t="s">
        <v>658</v>
      </c>
      <c r="C481" t="s">
        <v>591</v>
      </c>
      <c r="D481" t="s">
        <v>1516</v>
      </c>
      <c r="E481" t="s">
        <v>467</v>
      </c>
      <c r="F481" t="s">
        <v>28</v>
      </c>
      <c r="G481" t="s">
        <v>283</v>
      </c>
      <c r="H481" t="s">
        <v>285</v>
      </c>
      <c r="I481">
        <v>2014</v>
      </c>
      <c r="J481" t="s">
        <v>139</v>
      </c>
      <c r="K481" t="s">
        <v>91</v>
      </c>
      <c r="M481" t="s">
        <v>139</v>
      </c>
      <c r="N481">
        <v>0</v>
      </c>
      <c r="O481">
        <v>0</v>
      </c>
      <c r="P481" t="s">
        <v>139</v>
      </c>
      <c r="Q481">
        <v>0</v>
      </c>
      <c r="R481" t="s">
        <v>1046</v>
      </c>
      <c r="S481" t="s">
        <v>91</v>
      </c>
      <c r="T481" t="s">
        <v>91</v>
      </c>
      <c r="U481" s="144"/>
    </row>
    <row r="482" spans="1:21">
      <c r="A482">
        <v>480</v>
      </c>
      <c r="B482" t="s">
        <v>658</v>
      </c>
      <c r="C482" t="s">
        <v>592</v>
      </c>
      <c r="D482" t="s">
        <v>1517</v>
      </c>
      <c r="E482" t="s">
        <v>467</v>
      </c>
      <c r="F482" t="s">
        <v>28</v>
      </c>
      <c r="G482" t="s">
        <v>283</v>
      </c>
      <c r="H482" t="s">
        <v>285</v>
      </c>
      <c r="I482">
        <v>1993</v>
      </c>
      <c r="J482" t="s">
        <v>139</v>
      </c>
      <c r="K482" t="s">
        <v>91</v>
      </c>
      <c r="M482" t="s">
        <v>91</v>
      </c>
      <c r="N482">
        <v>1</v>
      </c>
      <c r="O482">
        <v>0</v>
      </c>
      <c r="P482" t="s">
        <v>91</v>
      </c>
      <c r="Q482">
        <v>1</v>
      </c>
      <c r="R482" t="s">
        <v>1046</v>
      </c>
      <c r="S482" t="s">
        <v>91</v>
      </c>
      <c r="T482" t="s">
        <v>139</v>
      </c>
      <c r="U482" s="144"/>
    </row>
    <row r="483" spans="1:21">
      <c r="A483">
        <v>481</v>
      </c>
      <c r="B483" t="s">
        <v>658</v>
      </c>
      <c r="C483" t="s">
        <v>599</v>
      </c>
      <c r="D483" t="s">
        <v>1527</v>
      </c>
      <c r="E483" t="s">
        <v>467</v>
      </c>
      <c r="F483" t="s">
        <v>28</v>
      </c>
      <c r="G483" t="s">
        <v>283</v>
      </c>
      <c r="H483" t="s">
        <v>661</v>
      </c>
      <c r="J483" t="s">
        <v>91</v>
      </c>
      <c r="K483" t="s">
        <v>91</v>
      </c>
      <c r="M483" t="s">
        <v>139</v>
      </c>
      <c r="N483">
        <v>0</v>
      </c>
      <c r="O483">
        <v>0</v>
      </c>
      <c r="P483" t="s">
        <v>91</v>
      </c>
      <c r="Q483">
        <v>1</v>
      </c>
      <c r="R483" t="s">
        <v>947</v>
      </c>
      <c r="S483" t="s">
        <v>91</v>
      </c>
      <c r="T483" t="s">
        <v>91</v>
      </c>
      <c r="U483" s="144"/>
    </row>
    <row r="484" spans="1:21">
      <c r="A484">
        <v>482</v>
      </c>
      <c r="B484" t="s">
        <v>658</v>
      </c>
      <c r="C484" t="s">
        <v>612</v>
      </c>
      <c r="D484" t="s">
        <v>1531</v>
      </c>
      <c r="E484" t="s">
        <v>467</v>
      </c>
      <c r="F484" t="s">
        <v>28</v>
      </c>
      <c r="G484" t="s">
        <v>283</v>
      </c>
      <c r="H484" t="s">
        <v>673</v>
      </c>
      <c r="J484" t="s">
        <v>91</v>
      </c>
      <c r="K484" t="s">
        <v>91</v>
      </c>
      <c r="U484" s="144"/>
    </row>
    <row r="485" spans="1:21">
      <c r="A485">
        <v>483</v>
      </c>
      <c r="B485" t="s">
        <v>658</v>
      </c>
      <c r="C485" t="s">
        <v>607</v>
      </c>
      <c r="D485" t="s">
        <v>1537</v>
      </c>
      <c r="E485" t="s">
        <v>467</v>
      </c>
      <c r="F485" t="s">
        <v>28</v>
      </c>
      <c r="G485" t="s">
        <v>283</v>
      </c>
      <c r="H485" t="s">
        <v>668</v>
      </c>
      <c r="I485">
        <v>1950</v>
      </c>
      <c r="J485" t="s">
        <v>91</v>
      </c>
      <c r="K485" t="s">
        <v>91</v>
      </c>
      <c r="M485" t="s">
        <v>91</v>
      </c>
      <c r="N485">
        <v>1</v>
      </c>
      <c r="O485">
        <v>0</v>
      </c>
      <c r="P485" t="s">
        <v>91</v>
      </c>
      <c r="Q485">
        <v>1</v>
      </c>
      <c r="R485" t="s">
        <v>1028</v>
      </c>
      <c r="S485" t="s">
        <v>91</v>
      </c>
      <c r="T485" t="s">
        <v>139</v>
      </c>
      <c r="U485" s="144"/>
    </row>
    <row r="486" spans="1:21">
      <c r="A486">
        <v>484</v>
      </c>
      <c r="B486" t="s">
        <v>658</v>
      </c>
      <c r="C486" t="s">
        <v>609</v>
      </c>
      <c r="D486" t="s">
        <v>1539</v>
      </c>
      <c r="E486" t="s">
        <v>467</v>
      </c>
      <c r="F486" t="s">
        <v>28</v>
      </c>
      <c r="G486" t="s">
        <v>283</v>
      </c>
      <c r="H486" t="s">
        <v>670</v>
      </c>
      <c r="I486">
        <v>1972</v>
      </c>
      <c r="J486" t="s">
        <v>91</v>
      </c>
      <c r="K486" t="s">
        <v>91</v>
      </c>
      <c r="M486" t="s">
        <v>91</v>
      </c>
      <c r="N486">
        <v>1</v>
      </c>
      <c r="O486">
        <v>0</v>
      </c>
      <c r="P486" t="s">
        <v>91</v>
      </c>
      <c r="Q486">
        <v>1</v>
      </c>
      <c r="R486" t="s">
        <v>977</v>
      </c>
      <c r="S486" t="s">
        <v>139</v>
      </c>
      <c r="T486">
        <v>0</v>
      </c>
      <c r="U486" s="144"/>
    </row>
    <row r="487" spans="1:21">
      <c r="A487">
        <v>485</v>
      </c>
      <c r="B487" t="s">
        <v>658</v>
      </c>
      <c r="C487" t="s">
        <v>582</v>
      </c>
      <c r="D487" t="s">
        <v>1504</v>
      </c>
      <c r="E487" t="s">
        <v>467</v>
      </c>
      <c r="F487" t="s">
        <v>28</v>
      </c>
      <c r="G487" t="s">
        <v>284</v>
      </c>
      <c r="H487" t="s">
        <v>287</v>
      </c>
      <c r="I487">
        <v>1983</v>
      </c>
      <c r="J487" t="s">
        <v>139</v>
      </c>
      <c r="K487" t="s">
        <v>91</v>
      </c>
      <c r="M487" t="s">
        <v>1318</v>
      </c>
      <c r="N487">
        <v>0</v>
      </c>
      <c r="O487">
        <v>0</v>
      </c>
      <c r="P487" t="s">
        <v>91</v>
      </c>
      <c r="Q487">
        <v>1</v>
      </c>
      <c r="R487" t="s">
        <v>947</v>
      </c>
      <c r="S487" t="s">
        <v>1318</v>
      </c>
      <c r="T487" t="s">
        <v>139</v>
      </c>
      <c r="U487" s="144"/>
    </row>
    <row r="488" spans="1:21">
      <c r="A488">
        <v>486</v>
      </c>
      <c r="B488" t="s">
        <v>658</v>
      </c>
      <c r="C488" t="s">
        <v>583</v>
      </c>
      <c r="D488" t="s">
        <v>1505</v>
      </c>
      <c r="E488" t="s">
        <v>467</v>
      </c>
      <c r="F488" t="s">
        <v>28</v>
      </c>
      <c r="G488" t="s">
        <v>284</v>
      </c>
      <c r="H488" t="s">
        <v>284</v>
      </c>
      <c r="I488">
        <v>1953</v>
      </c>
      <c r="J488" t="s">
        <v>91</v>
      </c>
      <c r="K488" t="s">
        <v>91</v>
      </c>
      <c r="M488" t="s">
        <v>91</v>
      </c>
      <c r="N488">
        <v>1</v>
      </c>
      <c r="O488">
        <v>0</v>
      </c>
      <c r="P488" t="s">
        <v>91</v>
      </c>
      <c r="Q488">
        <v>1</v>
      </c>
      <c r="R488" t="s">
        <v>1046</v>
      </c>
      <c r="S488" t="s">
        <v>91</v>
      </c>
      <c r="T488">
        <v>0</v>
      </c>
      <c r="U488" s="144"/>
    </row>
    <row r="489" spans="1:21">
      <c r="A489">
        <v>487</v>
      </c>
      <c r="B489" t="s">
        <v>658</v>
      </c>
      <c r="C489" t="s">
        <v>588</v>
      </c>
      <c r="D489" t="s">
        <v>1512</v>
      </c>
      <c r="E489" t="s">
        <v>467</v>
      </c>
      <c r="F489" t="s">
        <v>28</v>
      </c>
      <c r="G489" t="s">
        <v>284</v>
      </c>
      <c r="H489" t="s">
        <v>284</v>
      </c>
      <c r="I489">
        <v>2003</v>
      </c>
      <c r="J489" t="s">
        <v>659</v>
      </c>
      <c r="K489" t="s">
        <v>91</v>
      </c>
      <c r="M489" t="s">
        <v>139</v>
      </c>
      <c r="N489">
        <v>0</v>
      </c>
      <c r="O489">
        <v>0</v>
      </c>
      <c r="P489" t="s">
        <v>91</v>
      </c>
      <c r="Q489">
        <v>1</v>
      </c>
      <c r="R489" t="s">
        <v>977</v>
      </c>
      <c r="S489" t="s">
        <v>91</v>
      </c>
      <c r="T489" t="s">
        <v>91</v>
      </c>
      <c r="U489" s="144"/>
    </row>
    <row r="490" spans="1:21">
      <c r="A490">
        <v>488</v>
      </c>
      <c r="B490" t="s">
        <v>658</v>
      </c>
      <c r="C490" t="s">
        <v>589</v>
      </c>
      <c r="D490" t="s">
        <v>1513</v>
      </c>
      <c r="E490" t="s">
        <v>467</v>
      </c>
      <c r="F490" t="s">
        <v>28</v>
      </c>
      <c r="G490" t="s">
        <v>284</v>
      </c>
      <c r="H490" t="s">
        <v>287</v>
      </c>
      <c r="I490">
        <v>1990</v>
      </c>
      <c r="J490" t="s">
        <v>91</v>
      </c>
      <c r="K490" t="s">
        <v>91</v>
      </c>
      <c r="M490" t="s">
        <v>91</v>
      </c>
      <c r="N490">
        <v>1</v>
      </c>
      <c r="O490">
        <v>0</v>
      </c>
      <c r="P490" t="s">
        <v>91</v>
      </c>
      <c r="Q490">
        <v>1</v>
      </c>
      <c r="R490" t="s">
        <v>947</v>
      </c>
      <c r="S490" t="s">
        <v>91</v>
      </c>
      <c r="T490" t="s">
        <v>139</v>
      </c>
      <c r="U490" s="144"/>
    </row>
    <row r="491" spans="1:21">
      <c r="A491">
        <v>489</v>
      </c>
      <c r="B491" t="s">
        <v>658</v>
      </c>
      <c r="C491" t="s">
        <v>598</v>
      </c>
      <c r="D491" t="s">
        <v>1525</v>
      </c>
      <c r="E491" t="s">
        <v>467</v>
      </c>
      <c r="F491" t="s">
        <v>28</v>
      </c>
      <c r="G491" t="s">
        <v>284</v>
      </c>
      <c r="H491" t="s">
        <v>660</v>
      </c>
      <c r="I491">
        <v>1955</v>
      </c>
      <c r="J491" t="s">
        <v>91</v>
      </c>
      <c r="K491" t="s">
        <v>91</v>
      </c>
      <c r="M491" t="s">
        <v>139</v>
      </c>
      <c r="N491">
        <v>0</v>
      </c>
      <c r="O491">
        <v>0</v>
      </c>
      <c r="P491" t="s">
        <v>91</v>
      </c>
      <c r="Q491">
        <v>1</v>
      </c>
      <c r="R491" t="s">
        <v>1526</v>
      </c>
      <c r="S491" t="s">
        <v>139</v>
      </c>
      <c r="T491" t="s">
        <v>91</v>
      </c>
      <c r="U491" s="144"/>
    </row>
    <row r="492" spans="1:21">
      <c r="A492">
        <v>490</v>
      </c>
      <c r="B492" t="s">
        <v>658</v>
      </c>
      <c r="C492" t="s">
        <v>600</v>
      </c>
      <c r="D492" t="s">
        <v>1528</v>
      </c>
      <c r="E492" t="s">
        <v>467</v>
      </c>
      <c r="F492" t="s">
        <v>28</v>
      </c>
      <c r="G492" t="s">
        <v>284</v>
      </c>
      <c r="H492" t="s">
        <v>662</v>
      </c>
      <c r="J492" t="s">
        <v>91</v>
      </c>
      <c r="K492" t="s">
        <v>91</v>
      </c>
      <c r="M492" t="s">
        <v>91</v>
      </c>
      <c r="N492">
        <v>1</v>
      </c>
      <c r="O492">
        <v>0</v>
      </c>
      <c r="P492" t="s">
        <v>91</v>
      </c>
      <c r="Q492">
        <v>1</v>
      </c>
      <c r="R492" t="s">
        <v>947</v>
      </c>
      <c r="S492" t="s">
        <v>91</v>
      </c>
      <c r="T492" t="s">
        <v>139</v>
      </c>
      <c r="U492" s="144"/>
    </row>
    <row r="493" spans="1:21">
      <c r="A493">
        <v>491</v>
      </c>
      <c r="B493" t="s">
        <v>658</v>
      </c>
      <c r="C493" t="s">
        <v>601</v>
      </c>
      <c r="D493" t="s">
        <v>1529</v>
      </c>
      <c r="E493" t="s">
        <v>467</v>
      </c>
      <c r="F493" t="s">
        <v>28</v>
      </c>
      <c r="G493" t="s">
        <v>284</v>
      </c>
      <c r="H493" t="s">
        <v>663</v>
      </c>
      <c r="I493">
        <v>1983</v>
      </c>
      <c r="J493" t="s">
        <v>91</v>
      </c>
      <c r="K493" t="s">
        <v>91</v>
      </c>
      <c r="M493" t="s">
        <v>91</v>
      </c>
      <c r="N493">
        <v>1</v>
      </c>
      <c r="O493">
        <v>0</v>
      </c>
      <c r="P493" t="s">
        <v>91</v>
      </c>
      <c r="Q493">
        <v>1</v>
      </c>
      <c r="R493" t="s">
        <v>947</v>
      </c>
      <c r="S493" t="s">
        <v>91</v>
      </c>
      <c r="T493" t="s">
        <v>91</v>
      </c>
      <c r="U493" s="144"/>
    </row>
    <row r="494" spans="1:21">
      <c r="A494">
        <v>492</v>
      </c>
      <c r="B494" t="s">
        <v>658</v>
      </c>
      <c r="C494" t="s">
        <v>604</v>
      </c>
      <c r="D494" t="s">
        <v>1534</v>
      </c>
      <c r="E494" t="s">
        <v>467</v>
      </c>
      <c r="F494" t="s">
        <v>28</v>
      </c>
      <c r="G494" t="s">
        <v>284</v>
      </c>
      <c r="H494" t="s">
        <v>665</v>
      </c>
      <c r="I494">
        <v>1985</v>
      </c>
      <c r="J494" t="s">
        <v>91</v>
      </c>
      <c r="K494" t="s">
        <v>91</v>
      </c>
      <c r="M494" t="s">
        <v>139</v>
      </c>
      <c r="N494">
        <v>0</v>
      </c>
      <c r="O494">
        <v>0</v>
      </c>
      <c r="P494" t="s">
        <v>91</v>
      </c>
      <c r="Q494">
        <v>1</v>
      </c>
      <c r="R494" t="s">
        <v>947</v>
      </c>
      <c r="S494" t="s">
        <v>91</v>
      </c>
      <c r="T494" t="s">
        <v>91</v>
      </c>
      <c r="U494" s="144"/>
    </row>
    <row r="495" spans="1:21">
      <c r="A495">
        <v>493</v>
      </c>
      <c r="B495" t="s">
        <v>658</v>
      </c>
      <c r="C495" t="s">
        <v>585</v>
      </c>
      <c r="D495" t="s">
        <v>1507</v>
      </c>
      <c r="E495" t="s">
        <v>467</v>
      </c>
      <c r="F495" t="s">
        <v>28</v>
      </c>
      <c r="G495" t="s">
        <v>28</v>
      </c>
      <c r="H495" t="s">
        <v>28</v>
      </c>
      <c r="I495">
        <v>1952</v>
      </c>
      <c r="J495" t="s">
        <v>91</v>
      </c>
      <c r="K495" t="s">
        <v>91</v>
      </c>
      <c r="U495" s="144"/>
    </row>
    <row r="496" spans="1:21">
      <c r="A496">
        <v>494</v>
      </c>
      <c r="B496" t="s">
        <v>658</v>
      </c>
      <c r="C496" t="s">
        <v>587</v>
      </c>
      <c r="D496" t="s">
        <v>1510</v>
      </c>
      <c r="E496" t="s">
        <v>467</v>
      </c>
      <c r="F496" t="s">
        <v>28</v>
      </c>
      <c r="G496" t="s">
        <v>28</v>
      </c>
      <c r="H496" t="s">
        <v>28</v>
      </c>
      <c r="I496">
        <v>1993</v>
      </c>
      <c r="J496" t="s">
        <v>139</v>
      </c>
      <c r="K496" t="s">
        <v>91</v>
      </c>
      <c r="M496" t="s">
        <v>139</v>
      </c>
      <c r="N496">
        <v>0</v>
      </c>
      <c r="O496">
        <v>0</v>
      </c>
      <c r="P496" t="s">
        <v>139</v>
      </c>
      <c r="Q496">
        <v>0</v>
      </c>
      <c r="R496" t="s">
        <v>1511</v>
      </c>
      <c r="S496" t="s">
        <v>91</v>
      </c>
      <c r="T496" t="s">
        <v>139</v>
      </c>
      <c r="U496" s="144"/>
    </row>
    <row r="497" spans="1:21">
      <c r="A497">
        <v>495</v>
      </c>
      <c r="B497" t="s">
        <v>658</v>
      </c>
      <c r="C497" t="s">
        <v>590</v>
      </c>
      <c r="D497" t="s">
        <v>1514</v>
      </c>
      <c r="E497" t="s">
        <v>467</v>
      </c>
      <c r="F497" t="s">
        <v>28</v>
      </c>
      <c r="G497" t="s">
        <v>28</v>
      </c>
      <c r="H497" t="s">
        <v>28</v>
      </c>
      <c r="I497">
        <v>1963</v>
      </c>
      <c r="J497" t="s">
        <v>139</v>
      </c>
      <c r="K497" t="s">
        <v>91</v>
      </c>
      <c r="M497" t="s">
        <v>1515</v>
      </c>
      <c r="N497">
        <v>0</v>
      </c>
      <c r="O497">
        <v>1</v>
      </c>
      <c r="P497" t="s">
        <v>91</v>
      </c>
      <c r="Q497">
        <v>1</v>
      </c>
      <c r="R497" t="s">
        <v>984</v>
      </c>
      <c r="S497" t="s">
        <v>91</v>
      </c>
      <c r="T497" t="s">
        <v>139</v>
      </c>
      <c r="U497" s="144"/>
    </row>
    <row r="498" spans="1:21">
      <c r="A498">
        <v>496</v>
      </c>
      <c r="B498" t="s">
        <v>658</v>
      </c>
      <c r="C498" t="s">
        <v>831</v>
      </c>
      <c r="D498" t="s">
        <v>1518</v>
      </c>
      <c r="E498" t="s">
        <v>467</v>
      </c>
      <c r="F498" t="s">
        <v>28</v>
      </c>
      <c r="G498" t="s">
        <v>28</v>
      </c>
      <c r="H498" t="s">
        <v>28</v>
      </c>
      <c r="I498">
        <v>1952</v>
      </c>
      <c r="J498" t="s">
        <v>139</v>
      </c>
      <c r="K498" t="s">
        <v>91</v>
      </c>
      <c r="M498" t="s">
        <v>139</v>
      </c>
      <c r="N498">
        <v>0</v>
      </c>
      <c r="O498">
        <v>0</v>
      </c>
      <c r="P498" t="s">
        <v>91</v>
      </c>
      <c r="Q498">
        <v>1</v>
      </c>
      <c r="R498" t="s">
        <v>947</v>
      </c>
      <c r="S498" t="s">
        <v>91</v>
      </c>
      <c r="T498" t="s">
        <v>91</v>
      </c>
      <c r="U498" s="144"/>
    </row>
    <row r="499" spans="1:21">
      <c r="A499">
        <v>497</v>
      </c>
      <c r="B499" t="s">
        <v>658</v>
      </c>
      <c r="C499" t="s">
        <v>593</v>
      </c>
      <c r="D499" t="s">
        <v>1519</v>
      </c>
      <c r="E499" t="s">
        <v>467</v>
      </c>
      <c r="F499" t="s">
        <v>28</v>
      </c>
      <c r="G499" t="s">
        <v>28</v>
      </c>
      <c r="H499" t="s">
        <v>28</v>
      </c>
      <c r="I499">
        <v>2008</v>
      </c>
      <c r="J499" t="s">
        <v>139</v>
      </c>
      <c r="K499" t="s">
        <v>91</v>
      </c>
      <c r="M499" t="s">
        <v>139</v>
      </c>
      <c r="N499">
        <v>0</v>
      </c>
      <c r="O499">
        <v>0</v>
      </c>
      <c r="P499" t="s">
        <v>139</v>
      </c>
      <c r="Q499">
        <v>0</v>
      </c>
      <c r="R499" t="s">
        <v>947</v>
      </c>
      <c r="S499" t="s">
        <v>91</v>
      </c>
      <c r="T499" t="s">
        <v>91</v>
      </c>
      <c r="U499" s="144"/>
    </row>
    <row r="500" spans="1:21">
      <c r="A500">
        <v>498</v>
      </c>
      <c r="B500" t="s">
        <v>658</v>
      </c>
      <c r="C500" t="s">
        <v>594</v>
      </c>
      <c r="D500" t="s">
        <v>1520</v>
      </c>
      <c r="E500" t="s">
        <v>467</v>
      </c>
      <c r="F500" t="s">
        <v>28</v>
      </c>
      <c r="G500" t="s">
        <v>28</v>
      </c>
      <c r="H500" t="s">
        <v>28</v>
      </c>
      <c r="I500">
        <v>1998</v>
      </c>
      <c r="J500" t="s">
        <v>139</v>
      </c>
      <c r="K500" t="s">
        <v>91</v>
      </c>
      <c r="U500" s="144"/>
    </row>
    <row r="501" spans="1:21">
      <c r="A501">
        <v>499</v>
      </c>
      <c r="B501" t="s">
        <v>658</v>
      </c>
      <c r="C501" t="s">
        <v>595</v>
      </c>
      <c r="D501" t="s">
        <v>1521</v>
      </c>
      <c r="E501" t="s">
        <v>467</v>
      </c>
      <c r="F501" t="s">
        <v>28</v>
      </c>
      <c r="G501" t="s">
        <v>28</v>
      </c>
      <c r="H501" t="s">
        <v>28</v>
      </c>
      <c r="I501">
        <v>1985</v>
      </c>
      <c r="J501" t="s">
        <v>139</v>
      </c>
      <c r="K501" t="s">
        <v>91</v>
      </c>
      <c r="M501" t="s">
        <v>139</v>
      </c>
      <c r="N501">
        <v>0</v>
      </c>
      <c r="O501">
        <v>0</v>
      </c>
      <c r="P501" t="s">
        <v>91</v>
      </c>
      <c r="Q501">
        <v>1</v>
      </c>
      <c r="R501" t="s">
        <v>1522</v>
      </c>
      <c r="S501" t="s">
        <v>91</v>
      </c>
      <c r="T501" t="s">
        <v>91</v>
      </c>
      <c r="U501" s="144" t="s">
        <v>292</v>
      </c>
    </row>
    <row r="502" spans="1:21">
      <c r="A502">
        <v>500</v>
      </c>
      <c r="B502" t="s">
        <v>658</v>
      </c>
      <c r="C502" t="s">
        <v>596</v>
      </c>
      <c r="D502" t="s">
        <v>1523</v>
      </c>
      <c r="E502" t="s">
        <v>467</v>
      </c>
      <c r="F502" t="s">
        <v>28</v>
      </c>
      <c r="G502" t="s">
        <v>28</v>
      </c>
      <c r="H502" t="s">
        <v>28</v>
      </c>
      <c r="I502">
        <v>1988</v>
      </c>
      <c r="J502" t="s">
        <v>139</v>
      </c>
      <c r="K502" t="s">
        <v>91</v>
      </c>
      <c r="M502" t="s">
        <v>139</v>
      </c>
      <c r="N502">
        <v>0</v>
      </c>
      <c r="O502">
        <v>0</v>
      </c>
      <c r="P502" t="s">
        <v>91</v>
      </c>
      <c r="Q502">
        <v>1</v>
      </c>
      <c r="R502" t="s">
        <v>947</v>
      </c>
      <c r="S502" t="s">
        <v>91</v>
      </c>
      <c r="T502" t="s">
        <v>91</v>
      </c>
      <c r="U502" s="144"/>
    </row>
    <row r="503" spans="1:21">
      <c r="A503">
        <v>501</v>
      </c>
      <c r="B503" t="s">
        <v>658</v>
      </c>
      <c r="C503" t="s">
        <v>597</v>
      </c>
      <c r="D503" t="s">
        <v>1524</v>
      </c>
      <c r="E503" t="s">
        <v>467</v>
      </c>
      <c r="F503" t="s">
        <v>28</v>
      </c>
      <c r="G503" t="s">
        <v>28</v>
      </c>
      <c r="H503" t="s">
        <v>28</v>
      </c>
      <c r="J503" t="s">
        <v>91</v>
      </c>
      <c r="K503" t="s">
        <v>91</v>
      </c>
      <c r="M503" t="s">
        <v>139</v>
      </c>
      <c r="N503">
        <v>0</v>
      </c>
      <c r="O503">
        <v>0</v>
      </c>
      <c r="P503" t="s">
        <v>139</v>
      </c>
      <c r="Q503">
        <v>0</v>
      </c>
      <c r="R503" t="s">
        <v>947</v>
      </c>
      <c r="S503" t="s">
        <v>91</v>
      </c>
      <c r="T503" t="s">
        <v>91</v>
      </c>
      <c r="U503" s="144"/>
    </row>
    <row r="504" spans="1:21">
      <c r="A504">
        <v>502</v>
      </c>
      <c r="B504" t="s">
        <v>658</v>
      </c>
      <c r="C504" t="s">
        <v>602</v>
      </c>
      <c r="D504" t="s">
        <v>1530</v>
      </c>
      <c r="E504" t="s">
        <v>467</v>
      </c>
      <c r="F504" t="s">
        <v>28</v>
      </c>
      <c r="G504" t="s">
        <v>28</v>
      </c>
      <c r="H504" t="s">
        <v>664</v>
      </c>
      <c r="I504">
        <v>1950</v>
      </c>
      <c r="J504" t="s">
        <v>91</v>
      </c>
      <c r="K504" t="s">
        <v>91</v>
      </c>
      <c r="M504" t="s">
        <v>91</v>
      </c>
      <c r="N504">
        <v>1</v>
      </c>
      <c r="O504">
        <v>0</v>
      </c>
      <c r="P504" t="s">
        <v>139</v>
      </c>
      <c r="Q504">
        <v>0</v>
      </c>
      <c r="R504" t="s">
        <v>1028</v>
      </c>
      <c r="S504" t="s">
        <v>139</v>
      </c>
      <c r="T504" t="s">
        <v>91</v>
      </c>
      <c r="U504" s="144"/>
    </row>
    <row r="505" spans="1:21">
      <c r="A505">
        <v>503</v>
      </c>
      <c r="B505" t="s">
        <v>658</v>
      </c>
      <c r="C505" t="s">
        <v>603</v>
      </c>
      <c r="D505" t="s">
        <v>1532</v>
      </c>
      <c r="E505" t="s">
        <v>467</v>
      </c>
      <c r="F505" t="s">
        <v>28</v>
      </c>
      <c r="G505" t="s">
        <v>28</v>
      </c>
      <c r="H505" t="s">
        <v>288</v>
      </c>
      <c r="I505">
        <v>1985</v>
      </c>
      <c r="J505" t="s">
        <v>139</v>
      </c>
      <c r="K505" t="s">
        <v>91</v>
      </c>
      <c r="M505" t="s">
        <v>139</v>
      </c>
      <c r="N505">
        <v>0</v>
      </c>
      <c r="O505">
        <v>0</v>
      </c>
      <c r="P505" t="s">
        <v>1533</v>
      </c>
      <c r="Q505">
        <v>0</v>
      </c>
      <c r="R505" t="s">
        <v>1042</v>
      </c>
      <c r="S505" t="s">
        <v>91</v>
      </c>
      <c r="T505" t="s">
        <v>91</v>
      </c>
      <c r="U505" s="144"/>
    </row>
    <row r="506" spans="1:21">
      <c r="A506">
        <v>504</v>
      </c>
      <c r="B506" t="s">
        <v>658</v>
      </c>
      <c r="C506" t="s">
        <v>605</v>
      </c>
      <c r="D506" t="s">
        <v>1535</v>
      </c>
      <c r="E506" t="s">
        <v>467</v>
      </c>
      <c r="F506" t="s">
        <v>28</v>
      </c>
      <c r="G506" t="s">
        <v>28</v>
      </c>
      <c r="H506" t="s">
        <v>666</v>
      </c>
      <c r="I506">
        <v>1956</v>
      </c>
      <c r="J506" t="s">
        <v>91</v>
      </c>
      <c r="K506" t="s">
        <v>91</v>
      </c>
      <c r="M506" t="s">
        <v>91</v>
      </c>
      <c r="N506">
        <v>1</v>
      </c>
      <c r="O506">
        <v>0</v>
      </c>
      <c r="P506" t="s">
        <v>91</v>
      </c>
      <c r="Q506">
        <v>1</v>
      </c>
      <c r="R506" t="s">
        <v>1066</v>
      </c>
      <c r="S506" t="s">
        <v>91</v>
      </c>
      <c r="T506" t="s">
        <v>139</v>
      </c>
      <c r="U506" s="144"/>
    </row>
    <row r="507" spans="1:21">
      <c r="A507">
        <v>505</v>
      </c>
      <c r="B507" t="s">
        <v>658</v>
      </c>
      <c r="C507" t="s">
        <v>606</v>
      </c>
      <c r="D507" t="s">
        <v>1536</v>
      </c>
      <c r="E507" t="s">
        <v>467</v>
      </c>
      <c r="F507" t="s">
        <v>28</v>
      </c>
      <c r="G507" t="s">
        <v>28</v>
      </c>
      <c r="H507" t="s">
        <v>667</v>
      </c>
      <c r="I507">
        <v>1973</v>
      </c>
      <c r="J507" t="s">
        <v>91</v>
      </c>
      <c r="K507" t="s">
        <v>91</v>
      </c>
      <c r="M507" t="s">
        <v>139</v>
      </c>
      <c r="N507">
        <v>0</v>
      </c>
      <c r="O507">
        <v>0</v>
      </c>
      <c r="P507" t="s">
        <v>139</v>
      </c>
      <c r="Q507">
        <v>0</v>
      </c>
      <c r="R507" t="s">
        <v>951</v>
      </c>
      <c r="S507" t="s">
        <v>91</v>
      </c>
      <c r="T507" t="s">
        <v>91</v>
      </c>
      <c r="U507" s="144"/>
    </row>
    <row r="508" spans="1:21">
      <c r="A508">
        <v>506</v>
      </c>
      <c r="B508" t="s">
        <v>658</v>
      </c>
      <c r="C508" t="s">
        <v>608</v>
      </c>
      <c r="D508" t="s">
        <v>1538</v>
      </c>
      <c r="E508" t="s">
        <v>467</v>
      </c>
      <c r="F508" t="s">
        <v>28</v>
      </c>
      <c r="G508" t="s">
        <v>28</v>
      </c>
      <c r="H508" t="s">
        <v>669</v>
      </c>
      <c r="I508">
        <v>1950</v>
      </c>
      <c r="J508" t="s">
        <v>91</v>
      </c>
      <c r="K508" t="s">
        <v>91</v>
      </c>
      <c r="M508" t="s">
        <v>91</v>
      </c>
      <c r="N508">
        <v>1</v>
      </c>
      <c r="O508">
        <v>0</v>
      </c>
      <c r="P508" t="s">
        <v>91</v>
      </c>
      <c r="Q508">
        <v>1</v>
      </c>
      <c r="R508" t="s">
        <v>951</v>
      </c>
      <c r="S508" t="s">
        <v>91</v>
      </c>
      <c r="T508" t="s">
        <v>139</v>
      </c>
      <c r="U508" s="144"/>
    </row>
    <row r="509" spans="1:21">
      <c r="A509">
        <v>507</v>
      </c>
      <c r="B509" t="s">
        <v>658</v>
      </c>
      <c r="C509" t="s">
        <v>610</v>
      </c>
      <c r="D509" t="s">
        <v>1540</v>
      </c>
      <c r="E509" t="s">
        <v>467</v>
      </c>
      <c r="F509" t="s">
        <v>28</v>
      </c>
      <c r="G509" t="s">
        <v>28</v>
      </c>
      <c r="H509" t="s">
        <v>671</v>
      </c>
      <c r="I509">
        <v>2005</v>
      </c>
      <c r="J509" t="s">
        <v>139</v>
      </c>
      <c r="K509" t="s">
        <v>91</v>
      </c>
      <c r="M509" t="s">
        <v>139</v>
      </c>
      <c r="N509">
        <v>0</v>
      </c>
      <c r="O509">
        <v>0</v>
      </c>
      <c r="P509" t="s">
        <v>139</v>
      </c>
      <c r="Q509">
        <v>0</v>
      </c>
      <c r="R509" t="s">
        <v>947</v>
      </c>
      <c r="S509" t="s">
        <v>91</v>
      </c>
      <c r="T509" t="s">
        <v>91</v>
      </c>
      <c r="U509" s="144"/>
    </row>
    <row r="510" spans="1:21">
      <c r="A510">
        <v>508</v>
      </c>
      <c r="B510" t="s">
        <v>658</v>
      </c>
      <c r="C510" t="s">
        <v>611</v>
      </c>
      <c r="D510" t="s">
        <v>1541</v>
      </c>
      <c r="E510" t="s">
        <v>467</v>
      </c>
      <c r="F510" t="s">
        <v>28</v>
      </c>
      <c r="G510" t="s">
        <v>28</v>
      </c>
      <c r="H510" t="s">
        <v>672</v>
      </c>
      <c r="I510">
        <v>1992</v>
      </c>
      <c r="J510" t="s">
        <v>91</v>
      </c>
      <c r="K510" t="s">
        <v>91</v>
      </c>
      <c r="M510" t="s">
        <v>139</v>
      </c>
      <c r="N510">
        <v>0</v>
      </c>
      <c r="O510">
        <v>0</v>
      </c>
      <c r="P510" t="s">
        <v>139</v>
      </c>
      <c r="Q510">
        <v>0</v>
      </c>
      <c r="R510" t="s">
        <v>947</v>
      </c>
      <c r="S510" t="s">
        <v>1542</v>
      </c>
      <c r="T510" t="s">
        <v>91</v>
      </c>
      <c r="U510" s="144"/>
    </row>
    <row r="511" spans="1:21">
      <c r="A511">
        <v>509</v>
      </c>
      <c r="B511" t="s">
        <v>658</v>
      </c>
      <c r="C511" t="s">
        <v>619</v>
      </c>
      <c r="D511" t="s">
        <v>1548</v>
      </c>
      <c r="E511" t="s">
        <v>468</v>
      </c>
      <c r="F511" t="s">
        <v>28</v>
      </c>
      <c r="G511" t="s">
        <v>283</v>
      </c>
      <c r="H511" t="s">
        <v>286</v>
      </c>
      <c r="I511">
        <v>1993</v>
      </c>
      <c r="J511" t="s">
        <v>139</v>
      </c>
      <c r="K511" t="s">
        <v>91</v>
      </c>
      <c r="U511" s="144"/>
    </row>
    <row r="512" spans="1:21">
      <c r="A512">
        <v>510</v>
      </c>
      <c r="B512" t="s">
        <v>658</v>
      </c>
      <c r="C512" t="s">
        <v>623</v>
      </c>
      <c r="D512" t="s">
        <v>1552</v>
      </c>
      <c r="E512" t="s">
        <v>468</v>
      </c>
      <c r="F512" t="s">
        <v>28</v>
      </c>
      <c r="G512" t="s">
        <v>283</v>
      </c>
      <c r="H512" t="s">
        <v>285</v>
      </c>
      <c r="I512">
        <v>1988</v>
      </c>
      <c r="J512" t="s">
        <v>139</v>
      </c>
      <c r="K512" t="s">
        <v>91</v>
      </c>
      <c r="M512" t="s">
        <v>91</v>
      </c>
      <c r="N512">
        <v>1</v>
      </c>
      <c r="O512">
        <v>0</v>
      </c>
      <c r="P512" t="s">
        <v>91</v>
      </c>
      <c r="Q512">
        <v>1</v>
      </c>
      <c r="R512" t="s">
        <v>947</v>
      </c>
      <c r="S512" t="s">
        <v>91</v>
      </c>
      <c r="T512" t="s">
        <v>91</v>
      </c>
      <c r="U512" s="144"/>
    </row>
    <row r="513" spans="1:21">
      <c r="A513">
        <v>511</v>
      </c>
      <c r="B513" t="s">
        <v>658</v>
      </c>
      <c r="C513" t="s">
        <v>624</v>
      </c>
      <c r="D513" t="s">
        <v>1553</v>
      </c>
      <c r="E513" t="s">
        <v>468</v>
      </c>
      <c r="F513" t="s">
        <v>28</v>
      </c>
      <c r="G513" t="s">
        <v>283</v>
      </c>
      <c r="H513" t="s">
        <v>286</v>
      </c>
      <c r="I513">
        <v>1987</v>
      </c>
      <c r="J513" t="s">
        <v>139</v>
      </c>
      <c r="K513" t="s">
        <v>91</v>
      </c>
      <c r="M513" t="s">
        <v>91</v>
      </c>
      <c r="N513">
        <v>1</v>
      </c>
      <c r="O513">
        <v>0</v>
      </c>
      <c r="P513" t="s">
        <v>91</v>
      </c>
      <c r="Q513">
        <v>1</v>
      </c>
      <c r="R513" t="s">
        <v>947</v>
      </c>
      <c r="S513" t="s">
        <v>91</v>
      </c>
      <c r="T513">
        <v>0</v>
      </c>
      <c r="U513" s="144"/>
    </row>
    <row r="514" spans="1:21">
      <c r="A514">
        <v>512</v>
      </c>
      <c r="B514" t="s">
        <v>658</v>
      </c>
      <c r="C514" t="s">
        <v>628</v>
      </c>
      <c r="D514" t="s">
        <v>1558</v>
      </c>
      <c r="E514" t="s">
        <v>468</v>
      </c>
      <c r="F514" t="s">
        <v>28</v>
      </c>
      <c r="G514" t="s">
        <v>283</v>
      </c>
      <c r="H514" t="s">
        <v>285</v>
      </c>
      <c r="I514">
        <v>1952</v>
      </c>
      <c r="J514" t="s">
        <v>91</v>
      </c>
      <c r="K514" t="s">
        <v>91</v>
      </c>
      <c r="M514" t="s">
        <v>91</v>
      </c>
      <c r="N514">
        <v>1</v>
      </c>
      <c r="O514">
        <v>0</v>
      </c>
      <c r="P514" t="s">
        <v>91</v>
      </c>
      <c r="Q514">
        <v>1</v>
      </c>
      <c r="R514" t="s">
        <v>947</v>
      </c>
      <c r="S514" t="s">
        <v>91</v>
      </c>
      <c r="T514" t="s">
        <v>91</v>
      </c>
      <c r="U514" s="144"/>
    </row>
    <row r="515" spans="1:21">
      <c r="A515">
        <v>513</v>
      </c>
      <c r="B515" t="s">
        <v>658</v>
      </c>
      <c r="C515" t="s">
        <v>629</v>
      </c>
      <c r="D515" t="s">
        <v>1559</v>
      </c>
      <c r="E515" t="s">
        <v>468</v>
      </c>
      <c r="F515" t="s">
        <v>28</v>
      </c>
      <c r="G515" t="s">
        <v>283</v>
      </c>
      <c r="H515" t="s">
        <v>285</v>
      </c>
      <c r="I515">
        <v>2005</v>
      </c>
      <c r="J515" t="s">
        <v>139</v>
      </c>
      <c r="K515" t="s">
        <v>91</v>
      </c>
      <c r="M515" t="s">
        <v>91</v>
      </c>
      <c r="N515">
        <v>1</v>
      </c>
      <c r="O515">
        <v>0</v>
      </c>
      <c r="P515" t="s">
        <v>91</v>
      </c>
      <c r="Q515">
        <v>1</v>
      </c>
      <c r="R515" t="s">
        <v>951</v>
      </c>
      <c r="S515" t="s">
        <v>91</v>
      </c>
      <c r="T515" t="s">
        <v>91</v>
      </c>
      <c r="U515" s="144"/>
    </row>
    <row r="516" spans="1:21">
      <c r="A516">
        <v>514</v>
      </c>
      <c r="B516" t="s">
        <v>658</v>
      </c>
      <c r="C516" t="s">
        <v>631</v>
      </c>
      <c r="D516" t="s">
        <v>1561</v>
      </c>
      <c r="E516" t="s">
        <v>468</v>
      </c>
      <c r="F516" t="s">
        <v>28</v>
      </c>
      <c r="G516" t="s">
        <v>283</v>
      </c>
      <c r="H516" t="s">
        <v>285</v>
      </c>
      <c r="I516">
        <v>1950</v>
      </c>
      <c r="J516" t="s">
        <v>91</v>
      </c>
      <c r="K516" t="s">
        <v>91</v>
      </c>
      <c r="M516" t="s">
        <v>91</v>
      </c>
      <c r="N516">
        <v>1</v>
      </c>
      <c r="O516">
        <v>0</v>
      </c>
      <c r="P516" t="s">
        <v>91</v>
      </c>
      <c r="Q516">
        <v>1</v>
      </c>
      <c r="R516" t="s">
        <v>947</v>
      </c>
      <c r="S516" t="s">
        <v>91</v>
      </c>
      <c r="T516" t="s">
        <v>91</v>
      </c>
      <c r="U516" s="144"/>
    </row>
    <row r="517" spans="1:21">
      <c r="A517">
        <v>515</v>
      </c>
      <c r="B517" t="s">
        <v>658</v>
      </c>
      <c r="C517" t="s">
        <v>638</v>
      </c>
      <c r="D517" t="s">
        <v>1568</v>
      </c>
      <c r="E517" t="s">
        <v>468</v>
      </c>
      <c r="F517" t="s">
        <v>28</v>
      </c>
      <c r="G517" t="s">
        <v>283</v>
      </c>
      <c r="H517" t="s">
        <v>676</v>
      </c>
      <c r="J517" t="s">
        <v>91</v>
      </c>
      <c r="K517" t="s">
        <v>91</v>
      </c>
      <c r="M517" t="s">
        <v>91</v>
      </c>
      <c r="N517">
        <v>1</v>
      </c>
      <c r="O517">
        <v>0</v>
      </c>
      <c r="P517" t="s">
        <v>91</v>
      </c>
      <c r="Q517">
        <v>1</v>
      </c>
      <c r="R517" t="s">
        <v>947</v>
      </c>
      <c r="S517" t="s">
        <v>91</v>
      </c>
      <c r="T517" t="s">
        <v>91</v>
      </c>
      <c r="U517" s="144"/>
    </row>
    <row r="518" spans="1:21">
      <c r="A518">
        <v>516</v>
      </c>
      <c r="B518" t="s">
        <v>658</v>
      </c>
      <c r="C518" t="s">
        <v>640</v>
      </c>
      <c r="D518" t="s">
        <v>1570</v>
      </c>
      <c r="E518" t="s">
        <v>468</v>
      </c>
      <c r="F518" t="s">
        <v>28</v>
      </c>
      <c r="G518" t="s">
        <v>283</v>
      </c>
      <c r="H518" t="s">
        <v>661</v>
      </c>
      <c r="I518">
        <v>1987</v>
      </c>
      <c r="J518" t="s">
        <v>139</v>
      </c>
      <c r="K518" t="s">
        <v>91</v>
      </c>
      <c r="M518" t="s">
        <v>139</v>
      </c>
      <c r="N518">
        <v>0</v>
      </c>
      <c r="O518">
        <v>0</v>
      </c>
      <c r="P518" t="s">
        <v>91</v>
      </c>
      <c r="Q518">
        <v>1</v>
      </c>
      <c r="R518" t="s">
        <v>977</v>
      </c>
      <c r="S518" t="s">
        <v>91</v>
      </c>
      <c r="T518" t="s">
        <v>91</v>
      </c>
      <c r="U518" s="144"/>
    </row>
    <row r="519" spans="1:21">
      <c r="A519">
        <v>517</v>
      </c>
      <c r="B519" t="s">
        <v>658</v>
      </c>
      <c r="C519" t="s">
        <v>657</v>
      </c>
      <c r="D519" t="s">
        <v>1575</v>
      </c>
      <c r="E519" t="s">
        <v>468</v>
      </c>
      <c r="F519" t="s">
        <v>28</v>
      </c>
      <c r="G519" t="s">
        <v>283</v>
      </c>
      <c r="H519" t="s">
        <v>673</v>
      </c>
      <c r="J519" t="s">
        <v>91</v>
      </c>
      <c r="K519" t="s">
        <v>91</v>
      </c>
      <c r="U519" s="144"/>
    </row>
    <row r="520" spans="1:21">
      <c r="A520">
        <v>518</v>
      </c>
      <c r="B520" t="s">
        <v>658</v>
      </c>
      <c r="C520" t="s">
        <v>649</v>
      </c>
      <c r="D520" t="s">
        <v>1580</v>
      </c>
      <c r="E520" t="s">
        <v>468</v>
      </c>
      <c r="F520" t="s">
        <v>28</v>
      </c>
      <c r="G520" t="s">
        <v>283</v>
      </c>
      <c r="H520" t="s">
        <v>668</v>
      </c>
      <c r="I520">
        <v>1983</v>
      </c>
      <c r="J520" t="s">
        <v>91</v>
      </c>
      <c r="K520" t="s">
        <v>91</v>
      </c>
      <c r="M520" t="s">
        <v>91</v>
      </c>
      <c r="N520">
        <v>1</v>
      </c>
      <c r="O520">
        <v>0</v>
      </c>
      <c r="P520" t="s">
        <v>91</v>
      </c>
      <c r="Q520">
        <v>1</v>
      </c>
      <c r="R520" t="s">
        <v>947</v>
      </c>
      <c r="S520" t="s">
        <v>91</v>
      </c>
      <c r="T520" t="s">
        <v>91</v>
      </c>
      <c r="U520" s="144"/>
    </row>
    <row r="521" spans="1:21">
      <c r="A521">
        <v>519</v>
      </c>
      <c r="B521" t="s">
        <v>658</v>
      </c>
      <c r="C521" t="s">
        <v>652</v>
      </c>
      <c r="D521" t="s">
        <v>1583</v>
      </c>
      <c r="E521" t="s">
        <v>468</v>
      </c>
      <c r="F521" t="s">
        <v>28</v>
      </c>
      <c r="G521" t="s">
        <v>283</v>
      </c>
      <c r="H521" t="s">
        <v>670</v>
      </c>
      <c r="J521" t="s">
        <v>91</v>
      </c>
      <c r="K521" t="s">
        <v>91</v>
      </c>
      <c r="M521" t="s">
        <v>91</v>
      </c>
      <c r="N521">
        <v>1</v>
      </c>
      <c r="O521">
        <v>0</v>
      </c>
      <c r="P521" t="s">
        <v>91</v>
      </c>
      <c r="Q521">
        <v>1</v>
      </c>
      <c r="R521" t="s">
        <v>1584</v>
      </c>
      <c r="S521" t="s">
        <v>139</v>
      </c>
      <c r="T521" t="s">
        <v>91</v>
      </c>
      <c r="U521" s="144"/>
    </row>
    <row r="522" spans="1:21">
      <c r="A522">
        <v>520</v>
      </c>
      <c r="B522" t="s">
        <v>658</v>
      </c>
      <c r="C522" t="s">
        <v>654</v>
      </c>
      <c r="D522" t="s">
        <v>1586</v>
      </c>
      <c r="E522" t="s">
        <v>468</v>
      </c>
      <c r="F522" t="s">
        <v>28</v>
      </c>
      <c r="G522" t="s">
        <v>283</v>
      </c>
      <c r="H522" t="s">
        <v>679</v>
      </c>
      <c r="I522">
        <v>1989</v>
      </c>
      <c r="J522" t="s">
        <v>139</v>
      </c>
      <c r="K522" t="s">
        <v>91</v>
      </c>
      <c r="M522" t="s">
        <v>91</v>
      </c>
      <c r="N522">
        <v>1</v>
      </c>
      <c r="O522">
        <v>0</v>
      </c>
      <c r="P522" t="s">
        <v>91</v>
      </c>
      <c r="Q522">
        <v>1</v>
      </c>
      <c r="R522" t="s">
        <v>947</v>
      </c>
      <c r="S522" t="s">
        <v>91</v>
      </c>
      <c r="T522" t="s">
        <v>91</v>
      </c>
      <c r="U522" s="144"/>
    </row>
    <row r="523" spans="1:21">
      <c r="A523">
        <v>521</v>
      </c>
      <c r="B523" t="s">
        <v>658</v>
      </c>
      <c r="C523" t="s">
        <v>655</v>
      </c>
      <c r="D523">
        <v>9400076</v>
      </c>
      <c r="E523" t="s">
        <v>468</v>
      </c>
      <c r="F523" t="s">
        <v>28</v>
      </c>
      <c r="G523" t="s">
        <v>283</v>
      </c>
      <c r="H523" t="s">
        <v>680</v>
      </c>
      <c r="J523" t="s">
        <v>91</v>
      </c>
      <c r="K523" t="s">
        <v>91</v>
      </c>
      <c r="M523" t="s">
        <v>91</v>
      </c>
      <c r="N523">
        <v>1</v>
      </c>
      <c r="O523">
        <v>0</v>
      </c>
      <c r="P523" t="s">
        <v>91</v>
      </c>
      <c r="Q523">
        <v>1</v>
      </c>
      <c r="R523" t="s">
        <v>947</v>
      </c>
      <c r="S523" t="s">
        <v>91</v>
      </c>
      <c r="T523" t="s">
        <v>91</v>
      </c>
      <c r="U523" s="144"/>
    </row>
    <row r="524" spans="1:21">
      <c r="A524">
        <v>522</v>
      </c>
      <c r="B524" t="s">
        <v>658</v>
      </c>
      <c r="C524" t="s">
        <v>613</v>
      </c>
      <c r="E524" t="s">
        <v>468</v>
      </c>
      <c r="F524" t="s">
        <v>28</v>
      </c>
      <c r="G524" t="s">
        <v>284</v>
      </c>
      <c r="H524" t="s">
        <v>674</v>
      </c>
      <c r="I524">
        <v>1984</v>
      </c>
      <c r="K524" t="s">
        <v>91</v>
      </c>
      <c r="U524" s="144"/>
    </row>
    <row r="525" spans="1:21">
      <c r="A525">
        <v>523</v>
      </c>
      <c r="B525" t="s">
        <v>658</v>
      </c>
      <c r="C525" t="s">
        <v>620</v>
      </c>
      <c r="D525" t="s">
        <v>1549</v>
      </c>
      <c r="E525" t="s">
        <v>468</v>
      </c>
      <c r="F525" t="s">
        <v>28</v>
      </c>
      <c r="G525" t="s">
        <v>284</v>
      </c>
      <c r="H525" t="s">
        <v>287</v>
      </c>
      <c r="I525">
        <v>1993</v>
      </c>
      <c r="J525" t="s">
        <v>139</v>
      </c>
      <c r="K525" t="s">
        <v>91</v>
      </c>
      <c r="M525" t="s">
        <v>91</v>
      </c>
      <c r="N525">
        <v>1</v>
      </c>
      <c r="O525">
        <v>0</v>
      </c>
      <c r="P525" t="s">
        <v>91</v>
      </c>
      <c r="Q525">
        <v>1</v>
      </c>
      <c r="R525" t="s">
        <v>947</v>
      </c>
      <c r="S525" t="s">
        <v>91</v>
      </c>
      <c r="T525" t="s">
        <v>139</v>
      </c>
      <c r="U525" s="144"/>
    </row>
    <row r="526" spans="1:21">
      <c r="A526">
        <v>524</v>
      </c>
      <c r="B526" t="s">
        <v>658</v>
      </c>
      <c r="C526" t="s">
        <v>621</v>
      </c>
      <c r="D526" t="s">
        <v>1550</v>
      </c>
      <c r="E526" t="s">
        <v>468</v>
      </c>
      <c r="F526" t="s">
        <v>28</v>
      </c>
      <c r="G526" t="s">
        <v>284</v>
      </c>
      <c r="H526" t="s">
        <v>284</v>
      </c>
      <c r="I526">
        <v>1969</v>
      </c>
      <c r="J526" t="s">
        <v>91</v>
      </c>
      <c r="K526" t="s">
        <v>91</v>
      </c>
      <c r="M526" t="s">
        <v>91</v>
      </c>
      <c r="N526">
        <v>1</v>
      </c>
      <c r="O526">
        <v>0</v>
      </c>
      <c r="P526" t="s">
        <v>91</v>
      </c>
      <c r="Q526">
        <v>1</v>
      </c>
      <c r="R526" t="s">
        <v>947</v>
      </c>
      <c r="S526" t="s">
        <v>139</v>
      </c>
      <c r="T526" t="s">
        <v>91</v>
      </c>
      <c r="U526" s="144"/>
    </row>
    <row r="527" spans="1:21">
      <c r="A527">
        <v>525</v>
      </c>
      <c r="B527" t="s">
        <v>658</v>
      </c>
      <c r="C527" t="s">
        <v>625</v>
      </c>
      <c r="D527" t="s">
        <v>1554</v>
      </c>
      <c r="E527" t="s">
        <v>468</v>
      </c>
      <c r="F527" t="s">
        <v>28</v>
      </c>
      <c r="G527" t="s">
        <v>284</v>
      </c>
      <c r="H527" t="s">
        <v>287</v>
      </c>
      <c r="I527">
        <v>2000</v>
      </c>
      <c r="J527" t="s">
        <v>139</v>
      </c>
      <c r="K527" t="s">
        <v>91</v>
      </c>
      <c r="M527" t="s">
        <v>139</v>
      </c>
      <c r="N527">
        <v>0</v>
      </c>
      <c r="O527">
        <v>0</v>
      </c>
      <c r="P527" t="s">
        <v>91</v>
      </c>
      <c r="Q527">
        <v>1</v>
      </c>
      <c r="R527" t="s">
        <v>947</v>
      </c>
      <c r="S527" t="s">
        <v>91</v>
      </c>
      <c r="T527" t="s">
        <v>139</v>
      </c>
      <c r="U527" s="144"/>
    </row>
    <row r="528" spans="1:21">
      <c r="A528">
        <v>526</v>
      </c>
      <c r="B528" t="s">
        <v>658</v>
      </c>
      <c r="C528" t="s">
        <v>626</v>
      </c>
      <c r="D528" t="s">
        <v>1555</v>
      </c>
      <c r="E528" t="s">
        <v>468</v>
      </c>
      <c r="F528" t="s">
        <v>28</v>
      </c>
      <c r="G528" t="s">
        <v>284</v>
      </c>
      <c r="H528" t="s">
        <v>284</v>
      </c>
      <c r="I528">
        <v>2006</v>
      </c>
      <c r="J528" t="s">
        <v>139</v>
      </c>
      <c r="K528" t="s">
        <v>91</v>
      </c>
      <c r="M528" t="s">
        <v>139</v>
      </c>
      <c r="N528">
        <v>0</v>
      </c>
      <c r="O528">
        <v>0</v>
      </c>
      <c r="P528" t="s">
        <v>91</v>
      </c>
      <c r="Q528">
        <v>1</v>
      </c>
      <c r="R528" t="s">
        <v>977</v>
      </c>
      <c r="S528" t="s">
        <v>91</v>
      </c>
      <c r="T528" t="s">
        <v>91</v>
      </c>
      <c r="U528" s="144"/>
    </row>
    <row r="529" spans="1:21">
      <c r="A529">
        <v>527</v>
      </c>
      <c r="B529" t="s">
        <v>658</v>
      </c>
      <c r="C529" t="s">
        <v>639</v>
      </c>
      <c r="D529" t="s">
        <v>1569</v>
      </c>
      <c r="E529" t="s">
        <v>468</v>
      </c>
      <c r="F529" t="s">
        <v>28</v>
      </c>
      <c r="G529" t="s">
        <v>284</v>
      </c>
      <c r="H529" t="s">
        <v>660</v>
      </c>
      <c r="I529">
        <v>1990</v>
      </c>
      <c r="J529" t="s">
        <v>139</v>
      </c>
      <c r="K529" t="s">
        <v>91</v>
      </c>
      <c r="M529" t="s">
        <v>91</v>
      </c>
      <c r="N529">
        <v>1</v>
      </c>
      <c r="O529">
        <v>0</v>
      </c>
      <c r="P529" t="s">
        <v>91</v>
      </c>
      <c r="Q529">
        <v>1</v>
      </c>
      <c r="R529" t="s">
        <v>947</v>
      </c>
      <c r="S529" t="s">
        <v>139</v>
      </c>
      <c r="T529" t="s">
        <v>91</v>
      </c>
      <c r="U529" s="144"/>
    </row>
    <row r="530" spans="1:21">
      <c r="A530">
        <v>528</v>
      </c>
      <c r="B530" t="s">
        <v>658</v>
      </c>
      <c r="C530" t="s">
        <v>641</v>
      </c>
      <c r="D530" t="s">
        <v>1571</v>
      </c>
      <c r="E530" t="s">
        <v>468</v>
      </c>
      <c r="F530" t="s">
        <v>28</v>
      </c>
      <c r="G530" t="s">
        <v>284</v>
      </c>
      <c r="H530" t="s">
        <v>662</v>
      </c>
      <c r="I530">
        <v>1980</v>
      </c>
      <c r="J530" t="s">
        <v>91</v>
      </c>
      <c r="K530" t="s">
        <v>91</v>
      </c>
      <c r="U530" s="144"/>
    </row>
    <row r="531" spans="1:21">
      <c r="A531">
        <v>529</v>
      </c>
      <c r="B531" t="s">
        <v>658</v>
      </c>
      <c r="C531" t="s">
        <v>642</v>
      </c>
      <c r="D531" t="s">
        <v>1572</v>
      </c>
      <c r="E531" t="s">
        <v>468</v>
      </c>
      <c r="F531" t="s">
        <v>28</v>
      </c>
      <c r="G531" t="s">
        <v>284</v>
      </c>
      <c r="H531" t="s">
        <v>663</v>
      </c>
      <c r="I531">
        <v>1983</v>
      </c>
      <c r="J531" t="s">
        <v>91</v>
      </c>
      <c r="K531" t="s">
        <v>91</v>
      </c>
      <c r="U531" s="144"/>
    </row>
    <row r="532" spans="1:21">
      <c r="A532">
        <v>530</v>
      </c>
      <c r="B532" t="s">
        <v>658</v>
      </c>
      <c r="C532" t="s">
        <v>646</v>
      </c>
      <c r="D532" t="s">
        <v>1577</v>
      </c>
      <c r="E532" t="s">
        <v>468</v>
      </c>
      <c r="F532" t="s">
        <v>28</v>
      </c>
      <c r="G532" t="s">
        <v>284</v>
      </c>
      <c r="H532" t="s">
        <v>665</v>
      </c>
      <c r="I532">
        <v>1985</v>
      </c>
      <c r="J532" t="s">
        <v>91</v>
      </c>
      <c r="K532" t="s">
        <v>91</v>
      </c>
      <c r="M532" t="s">
        <v>139</v>
      </c>
      <c r="N532">
        <v>0</v>
      </c>
      <c r="O532">
        <v>0</v>
      </c>
      <c r="P532" t="s">
        <v>91</v>
      </c>
      <c r="Q532">
        <v>1</v>
      </c>
      <c r="R532" t="s">
        <v>947</v>
      </c>
      <c r="S532" t="s">
        <v>91</v>
      </c>
      <c r="T532" t="s">
        <v>91</v>
      </c>
      <c r="U532" s="144"/>
    </row>
    <row r="533" spans="1:21">
      <c r="A533">
        <v>531</v>
      </c>
      <c r="B533" t="s">
        <v>658</v>
      </c>
      <c r="C533" t="s">
        <v>614</v>
      </c>
      <c r="D533" t="s">
        <v>1543</v>
      </c>
      <c r="E533" t="s">
        <v>468</v>
      </c>
      <c r="F533" t="s">
        <v>28</v>
      </c>
      <c r="G533" t="s">
        <v>28</v>
      </c>
      <c r="H533" t="s">
        <v>28</v>
      </c>
      <c r="I533">
        <v>2005</v>
      </c>
      <c r="J533" t="s">
        <v>91</v>
      </c>
      <c r="K533" t="s">
        <v>91</v>
      </c>
      <c r="M533" t="s">
        <v>139</v>
      </c>
      <c r="N533">
        <v>0</v>
      </c>
      <c r="O533">
        <v>0</v>
      </c>
      <c r="P533" t="s">
        <v>91</v>
      </c>
      <c r="Q533">
        <v>1</v>
      </c>
      <c r="R533" t="s">
        <v>947</v>
      </c>
      <c r="S533" t="s">
        <v>91</v>
      </c>
      <c r="T533" t="s">
        <v>91</v>
      </c>
      <c r="U533" s="144"/>
    </row>
    <row r="534" spans="1:21">
      <c r="A534">
        <v>532</v>
      </c>
      <c r="B534" t="s">
        <v>658</v>
      </c>
      <c r="C534" t="s">
        <v>615</v>
      </c>
      <c r="D534" t="s">
        <v>1544</v>
      </c>
      <c r="E534" t="s">
        <v>468</v>
      </c>
      <c r="F534" t="s">
        <v>28</v>
      </c>
      <c r="G534" t="s">
        <v>28</v>
      </c>
      <c r="H534" t="s">
        <v>28</v>
      </c>
      <c r="I534">
        <v>1950</v>
      </c>
      <c r="J534" t="s">
        <v>91</v>
      </c>
      <c r="K534" t="s">
        <v>91</v>
      </c>
      <c r="U534" s="144"/>
    </row>
    <row r="535" spans="1:21">
      <c r="A535">
        <v>533</v>
      </c>
      <c r="B535" t="s">
        <v>658</v>
      </c>
      <c r="C535" t="s">
        <v>616</v>
      </c>
      <c r="D535" t="s">
        <v>1545</v>
      </c>
      <c r="E535" t="s">
        <v>468</v>
      </c>
      <c r="F535" t="s">
        <v>28</v>
      </c>
      <c r="G535" t="s">
        <v>28</v>
      </c>
      <c r="H535" t="s">
        <v>28</v>
      </c>
      <c r="I535">
        <v>2007</v>
      </c>
      <c r="J535" t="s">
        <v>139</v>
      </c>
      <c r="K535" t="s">
        <v>91</v>
      </c>
      <c r="M535" t="s">
        <v>91</v>
      </c>
      <c r="N535">
        <v>1</v>
      </c>
      <c r="O535">
        <v>0</v>
      </c>
      <c r="P535" t="s">
        <v>91</v>
      </c>
      <c r="Q535">
        <v>1</v>
      </c>
      <c r="R535" t="s">
        <v>947</v>
      </c>
      <c r="S535" t="s">
        <v>91</v>
      </c>
      <c r="T535" t="s">
        <v>91</v>
      </c>
      <c r="U535" s="144"/>
    </row>
    <row r="536" spans="1:21">
      <c r="A536">
        <v>534</v>
      </c>
      <c r="B536" t="s">
        <v>658</v>
      </c>
      <c r="C536" t="s">
        <v>617</v>
      </c>
      <c r="D536" t="s">
        <v>1546</v>
      </c>
      <c r="E536" t="s">
        <v>468</v>
      </c>
      <c r="F536" t="s">
        <v>28</v>
      </c>
      <c r="G536" t="s">
        <v>28</v>
      </c>
      <c r="H536" t="s">
        <v>28</v>
      </c>
      <c r="I536">
        <v>1992</v>
      </c>
      <c r="J536" t="s">
        <v>139</v>
      </c>
      <c r="K536" t="s">
        <v>91</v>
      </c>
      <c r="M536" t="s">
        <v>91</v>
      </c>
      <c r="N536">
        <v>1</v>
      </c>
      <c r="O536">
        <v>0</v>
      </c>
      <c r="P536" t="s">
        <v>91</v>
      </c>
      <c r="Q536">
        <v>1</v>
      </c>
      <c r="R536" t="s">
        <v>947</v>
      </c>
      <c r="S536" t="s">
        <v>91</v>
      </c>
      <c r="T536" t="s">
        <v>139</v>
      </c>
      <c r="U536" s="144"/>
    </row>
    <row r="537" spans="1:21">
      <c r="A537">
        <v>535</v>
      </c>
      <c r="B537" t="s">
        <v>658</v>
      </c>
      <c r="C537" t="s">
        <v>618</v>
      </c>
      <c r="D537" t="s">
        <v>1547</v>
      </c>
      <c r="E537" t="s">
        <v>468</v>
      </c>
      <c r="F537" t="s">
        <v>28</v>
      </c>
      <c r="G537" t="s">
        <v>28</v>
      </c>
      <c r="H537" t="s">
        <v>28</v>
      </c>
      <c r="I537">
        <v>1992</v>
      </c>
      <c r="J537" t="s">
        <v>139</v>
      </c>
      <c r="K537" t="s">
        <v>91</v>
      </c>
      <c r="U537" s="144"/>
    </row>
    <row r="538" spans="1:21">
      <c r="A538">
        <v>536</v>
      </c>
      <c r="B538" t="s">
        <v>658</v>
      </c>
      <c r="C538" t="s">
        <v>622</v>
      </c>
      <c r="D538" t="s">
        <v>1551</v>
      </c>
      <c r="E538" t="s">
        <v>468</v>
      </c>
      <c r="F538" t="s">
        <v>28</v>
      </c>
      <c r="G538" t="s">
        <v>28</v>
      </c>
      <c r="H538" t="s">
        <v>28</v>
      </c>
      <c r="I538">
        <v>1992</v>
      </c>
      <c r="J538" t="s">
        <v>139</v>
      </c>
      <c r="K538" t="s">
        <v>91</v>
      </c>
      <c r="M538" t="s">
        <v>139</v>
      </c>
      <c r="N538">
        <v>0</v>
      </c>
      <c r="O538">
        <v>0</v>
      </c>
      <c r="P538" t="s">
        <v>91</v>
      </c>
      <c r="Q538">
        <v>1</v>
      </c>
      <c r="R538" t="s">
        <v>947</v>
      </c>
      <c r="S538" t="s">
        <v>91</v>
      </c>
      <c r="T538" t="s">
        <v>91</v>
      </c>
      <c r="U538" s="144"/>
    </row>
    <row r="539" spans="1:21">
      <c r="A539">
        <v>537</v>
      </c>
      <c r="B539" t="s">
        <v>658</v>
      </c>
      <c r="C539" t="s">
        <v>627</v>
      </c>
      <c r="D539" t="s">
        <v>1556</v>
      </c>
      <c r="E539" t="s">
        <v>468</v>
      </c>
      <c r="F539" t="s">
        <v>28</v>
      </c>
      <c r="G539" t="s">
        <v>28</v>
      </c>
      <c r="H539" t="s">
        <v>28</v>
      </c>
      <c r="I539">
        <v>2004</v>
      </c>
      <c r="J539" t="s">
        <v>139</v>
      </c>
      <c r="K539" t="s">
        <v>91</v>
      </c>
      <c r="M539" t="s">
        <v>139</v>
      </c>
      <c r="N539">
        <v>0</v>
      </c>
      <c r="O539">
        <v>0</v>
      </c>
      <c r="P539" t="s">
        <v>91</v>
      </c>
      <c r="Q539">
        <v>1</v>
      </c>
      <c r="R539" t="s">
        <v>1557</v>
      </c>
      <c r="S539" t="s">
        <v>91</v>
      </c>
      <c r="T539" t="s">
        <v>91</v>
      </c>
      <c r="U539" s="144"/>
    </row>
    <row r="540" spans="1:21">
      <c r="A540">
        <v>538</v>
      </c>
      <c r="B540" t="s">
        <v>658</v>
      </c>
      <c r="C540" t="s">
        <v>630</v>
      </c>
      <c r="D540" t="s">
        <v>1560</v>
      </c>
      <c r="E540" t="s">
        <v>468</v>
      </c>
      <c r="F540" t="s">
        <v>28</v>
      </c>
      <c r="G540" t="s">
        <v>28</v>
      </c>
      <c r="H540" t="s">
        <v>28</v>
      </c>
      <c r="I540">
        <v>1972</v>
      </c>
      <c r="J540" t="s">
        <v>91</v>
      </c>
      <c r="K540" t="s">
        <v>91</v>
      </c>
      <c r="M540" t="s">
        <v>91</v>
      </c>
      <c r="N540">
        <v>1</v>
      </c>
      <c r="O540">
        <v>0</v>
      </c>
      <c r="P540" t="s">
        <v>91</v>
      </c>
      <c r="Q540">
        <v>1</v>
      </c>
      <c r="R540" t="s">
        <v>977</v>
      </c>
      <c r="S540" t="s">
        <v>91</v>
      </c>
      <c r="T540">
        <v>0</v>
      </c>
      <c r="U540" s="144"/>
    </row>
    <row r="541" spans="1:21">
      <c r="A541">
        <v>539</v>
      </c>
      <c r="B541" t="s">
        <v>658</v>
      </c>
      <c r="C541" t="s">
        <v>632</v>
      </c>
      <c r="D541" t="s">
        <v>1562</v>
      </c>
      <c r="E541" t="s">
        <v>468</v>
      </c>
      <c r="F541" t="s">
        <v>28</v>
      </c>
      <c r="G541" t="s">
        <v>28</v>
      </c>
      <c r="H541" t="s">
        <v>28</v>
      </c>
      <c r="J541" t="s">
        <v>91</v>
      </c>
      <c r="K541" t="s">
        <v>139</v>
      </c>
      <c r="U541" s="144"/>
    </row>
    <row r="542" spans="1:21">
      <c r="A542">
        <v>540</v>
      </c>
      <c r="B542" t="s">
        <v>658</v>
      </c>
      <c r="C542" t="s">
        <v>633</v>
      </c>
      <c r="D542" t="s">
        <v>1563</v>
      </c>
      <c r="E542" t="s">
        <v>468</v>
      </c>
      <c r="F542" t="s">
        <v>28</v>
      </c>
      <c r="G542" t="s">
        <v>28</v>
      </c>
      <c r="H542" t="s">
        <v>28</v>
      </c>
      <c r="I542">
        <v>1997</v>
      </c>
      <c r="J542" t="s">
        <v>139</v>
      </c>
      <c r="K542" t="s">
        <v>139</v>
      </c>
      <c r="M542" t="s">
        <v>139</v>
      </c>
      <c r="N542">
        <v>0</v>
      </c>
      <c r="O542">
        <v>0</v>
      </c>
      <c r="P542" t="s">
        <v>91</v>
      </c>
      <c r="Q542">
        <v>1</v>
      </c>
      <c r="R542" t="s">
        <v>947</v>
      </c>
      <c r="S542" t="s">
        <v>91</v>
      </c>
      <c r="T542">
        <v>0</v>
      </c>
      <c r="U542" s="144"/>
    </row>
    <row r="543" spans="1:21">
      <c r="A543">
        <v>541</v>
      </c>
      <c r="B543" t="s">
        <v>658</v>
      </c>
      <c r="C543" t="s">
        <v>634</v>
      </c>
      <c r="D543" t="s">
        <v>1564</v>
      </c>
      <c r="E543" t="s">
        <v>468</v>
      </c>
      <c r="F543" t="s">
        <v>28</v>
      </c>
      <c r="G543" t="s">
        <v>28</v>
      </c>
      <c r="H543" t="s">
        <v>28</v>
      </c>
      <c r="I543">
        <v>2009</v>
      </c>
      <c r="J543" t="s">
        <v>91</v>
      </c>
      <c r="K543" t="s">
        <v>139</v>
      </c>
      <c r="U543" s="144"/>
    </row>
    <row r="544" spans="1:21">
      <c r="A544">
        <v>542</v>
      </c>
      <c r="B544" t="s">
        <v>658</v>
      </c>
      <c r="C544" t="s">
        <v>635</v>
      </c>
      <c r="D544" t="s">
        <v>1565</v>
      </c>
      <c r="E544" t="s">
        <v>468</v>
      </c>
      <c r="F544" t="s">
        <v>28</v>
      </c>
      <c r="G544" t="s">
        <v>28</v>
      </c>
      <c r="H544" t="s">
        <v>28</v>
      </c>
      <c r="I544">
        <v>1990</v>
      </c>
      <c r="J544" t="s">
        <v>91</v>
      </c>
      <c r="K544" t="s">
        <v>139</v>
      </c>
      <c r="M544" t="s">
        <v>139</v>
      </c>
      <c r="N544">
        <v>0</v>
      </c>
      <c r="O544">
        <v>0</v>
      </c>
      <c r="P544" t="s">
        <v>91</v>
      </c>
      <c r="Q544">
        <v>1</v>
      </c>
      <c r="R544" t="s">
        <v>947</v>
      </c>
      <c r="S544" t="s">
        <v>91</v>
      </c>
      <c r="T544">
        <v>0</v>
      </c>
      <c r="U544" s="144"/>
    </row>
    <row r="545" spans="1:21">
      <c r="A545">
        <v>543</v>
      </c>
      <c r="B545" t="s">
        <v>658</v>
      </c>
      <c r="C545" t="s">
        <v>636</v>
      </c>
      <c r="D545" t="s">
        <v>1566</v>
      </c>
      <c r="E545" t="s">
        <v>468</v>
      </c>
      <c r="F545" t="s">
        <v>28</v>
      </c>
      <c r="G545" t="s">
        <v>28</v>
      </c>
      <c r="H545" t="s">
        <v>28</v>
      </c>
      <c r="I545">
        <v>1981</v>
      </c>
      <c r="J545" t="s">
        <v>139</v>
      </c>
      <c r="K545" t="s">
        <v>91</v>
      </c>
      <c r="M545" t="s">
        <v>91</v>
      </c>
      <c r="N545">
        <v>1</v>
      </c>
      <c r="O545">
        <v>0</v>
      </c>
      <c r="P545" t="s">
        <v>91</v>
      </c>
      <c r="Q545">
        <v>1</v>
      </c>
      <c r="R545" t="s">
        <v>977</v>
      </c>
      <c r="S545" t="s">
        <v>91</v>
      </c>
      <c r="T545" t="s">
        <v>91</v>
      </c>
      <c r="U545" s="144"/>
    </row>
    <row r="546" spans="1:21">
      <c r="A546">
        <v>544</v>
      </c>
      <c r="B546" t="s">
        <v>658</v>
      </c>
      <c r="C546" t="s">
        <v>637</v>
      </c>
      <c r="D546" t="s">
        <v>1567</v>
      </c>
      <c r="E546" t="s">
        <v>468</v>
      </c>
      <c r="F546" t="s">
        <v>28</v>
      </c>
      <c r="G546" t="s">
        <v>28</v>
      </c>
      <c r="H546" t="s">
        <v>675</v>
      </c>
      <c r="I546">
        <v>1984</v>
      </c>
      <c r="J546" t="s">
        <v>91</v>
      </c>
      <c r="K546" t="s">
        <v>91</v>
      </c>
      <c r="U546" s="144"/>
    </row>
    <row r="547" spans="1:21">
      <c r="A547">
        <v>545</v>
      </c>
      <c r="B547" t="s">
        <v>658</v>
      </c>
      <c r="C547" t="s">
        <v>643</v>
      </c>
      <c r="D547" t="s">
        <v>1573</v>
      </c>
      <c r="E547" t="s">
        <v>468</v>
      </c>
      <c r="F547" t="s">
        <v>28</v>
      </c>
      <c r="G547" t="s">
        <v>28</v>
      </c>
      <c r="H547" t="s">
        <v>664</v>
      </c>
      <c r="I547">
        <v>1996</v>
      </c>
      <c r="J547" t="s">
        <v>139</v>
      </c>
      <c r="K547" t="s">
        <v>91</v>
      </c>
      <c r="M547" t="s">
        <v>91</v>
      </c>
      <c r="N547">
        <v>1</v>
      </c>
      <c r="O547">
        <v>0</v>
      </c>
      <c r="P547" t="s">
        <v>91</v>
      </c>
      <c r="Q547">
        <v>1</v>
      </c>
      <c r="R547" t="s">
        <v>947</v>
      </c>
      <c r="S547" t="s">
        <v>91</v>
      </c>
      <c r="T547" t="s">
        <v>91</v>
      </c>
      <c r="U547" s="144"/>
    </row>
    <row r="548" spans="1:21">
      <c r="A548">
        <v>546</v>
      </c>
      <c r="B548" t="s">
        <v>658</v>
      </c>
      <c r="C548" t="s">
        <v>644</v>
      </c>
      <c r="D548" t="s">
        <v>1574</v>
      </c>
      <c r="E548" t="s">
        <v>468</v>
      </c>
      <c r="F548" t="s">
        <v>28</v>
      </c>
      <c r="G548" t="s">
        <v>28</v>
      </c>
      <c r="H548" t="s">
        <v>677</v>
      </c>
      <c r="I548">
        <v>1950</v>
      </c>
      <c r="J548" t="s">
        <v>91</v>
      </c>
      <c r="K548" t="s">
        <v>91</v>
      </c>
      <c r="M548" t="s">
        <v>91</v>
      </c>
      <c r="N548">
        <v>1</v>
      </c>
      <c r="O548">
        <v>0</v>
      </c>
      <c r="P548" t="s">
        <v>91</v>
      </c>
      <c r="Q548">
        <v>1</v>
      </c>
      <c r="R548" t="s">
        <v>947</v>
      </c>
      <c r="S548" t="s">
        <v>91</v>
      </c>
      <c r="T548">
        <v>0</v>
      </c>
      <c r="U548" s="144"/>
    </row>
    <row r="549" spans="1:21">
      <c r="A549">
        <v>547</v>
      </c>
      <c r="B549" t="s">
        <v>658</v>
      </c>
      <c r="C549" t="s">
        <v>645</v>
      </c>
      <c r="D549" t="s">
        <v>1576</v>
      </c>
      <c r="E549" t="s">
        <v>468</v>
      </c>
      <c r="F549" t="s">
        <v>28</v>
      </c>
      <c r="G549" t="s">
        <v>28</v>
      </c>
      <c r="H549" t="s">
        <v>288</v>
      </c>
      <c r="I549">
        <v>1985</v>
      </c>
      <c r="J549" t="s">
        <v>139</v>
      </c>
      <c r="K549" t="s">
        <v>91</v>
      </c>
      <c r="M549" t="s">
        <v>91</v>
      </c>
      <c r="N549">
        <v>1</v>
      </c>
      <c r="O549">
        <v>0</v>
      </c>
      <c r="P549" t="s">
        <v>91</v>
      </c>
      <c r="Q549">
        <v>1</v>
      </c>
      <c r="R549" t="s">
        <v>951</v>
      </c>
      <c r="S549" t="s">
        <v>91</v>
      </c>
      <c r="T549" t="s">
        <v>139</v>
      </c>
      <c r="U549" s="144"/>
    </row>
    <row r="550" spans="1:21">
      <c r="A550">
        <v>548</v>
      </c>
      <c r="B550" t="s">
        <v>658</v>
      </c>
      <c r="C550" t="s">
        <v>647</v>
      </c>
      <c r="D550" t="s">
        <v>1578</v>
      </c>
      <c r="E550" t="s">
        <v>468</v>
      </c>
      <c r="F550" t="s">
        <v>28</v>
      </c>
      <c r="G550" t="s">
        <v>28</v>
      </c>
      <c r="H550" t="s">
        <v>666</v>
      </c>
      <c r="I550">
        <v>1994</v>
      </c>
      <c r="J550" t="s">
        <v>139</v>
      </c>
      <c r="K550" t="s">
        <v>91</v>
      </c>
      <c r="M550" t="s">
        <v>139</v>
      </c>
      <c r="N550">
        <v>0</v>
      </c>
      <c r="O550">
        <v>0</v>
      </c>
      <c r="P550" t="s">
        <v>91</v>
      </c>
      <c r="Q550">
        <v>1</v>
      </c>
      <c r="R550" t="s">
        <v>951</v>
      </c>
      <c r="S550" t="s">
        <v>91</v>
      </c>
      <c r="T550" t="s">
        <v>91</v>
      </c>
      <c r="U550" s="144"/>
    </row>
    <row r="551" spans="1:21">
      <c r="A551">
        <v>549</v>
      </c>
      <c r="B551" t="s">
        <v>658</v>
      </c>
      <c r="C551" t="s">
        <v>648</v>
      </c>
      <c r="D551" t="s">
        <v>1579</v>
      </c>
      <c r="E551" t="s">
        <v>468</v>
      </c>
      <c r="F551" t="s">
        <v>28</v>
      </c>
      <c r="G551" t="s">
        <v>28</v>
      </c>
      <c r="H551" t="s">
        <v>667</v>
      </c>
      <c r="I551">
        <v>1996</v>
      </c>
      <c r="J551" t="s">
        <v>139</v>
      </c>
      <c r="K551" t="s">
        <v>91</v>
      </c>
      <c r="U551" s="144"/>
    </row>
    <row r="552" spans="1:21">
      <c r="A552">
        <v>550</v>
      </c>
      <c r="B552" t="s">
        <v>658</v>
      </c>
      <c r="C552" t="s">
        <v>650</v>
      </c>
      <c r="D552" t="s">
        <v>1581</v>
      </c>
      <c r="E552" t="s">
        <v>468</v>
      </c>
      <c r="F552" t="s">
        <v>28</v>
      </c>
      <c r="G552" t="s">
        <v>28</v>
      </c>
      <c r="H552" t="s">
        <v>289</v>
      </c>
      <c r="I552">
        <v>1993</v>
      </c>
      <c r="J552" t="s">
        <v>139</v>
      </c>
      <c r="K552" t="s">
        <v>91</v>
      </c>
      <c r="M552" t="s">
        <v>139</v>
      </c>
      <c r="N552">
        <v>0</v>
      </c>
      <c r="O552">
        <v>0</v>
      </c>
      <c r="P552" t="s">
        <v>91</v>
      </c>
      <c r="Q552">
        <v>1</v>
      </c>
      <c r="R552" t="s">
        <v>947</v>
      </c>
      <c r="S552" t="s">
        <v>91</v>
      </c>
      <c r="T552" t="s">
        <v>91</v>
      </c>
      <c r="U552" s="144"/>
    </row>
    <row r="553" spans="1:21">
      <c r="A553">
        <v>551</v>
      </c>
      <c r="B553" t="s">
        <v>658</v>
      </c>
      <c r="C553" t="s">
        <v>651</v>
      </c>
      <c r="D553" t="s">
        <v>1582</v>
      </c>
      <c r="E553" t="s">
        <v>468</v>
      </c>
      <c r="F553" t="s">
        <v>28</v>
      </c>
      <c r="G553" t="s">
        <v>28</v>
      </c>
      <c r="H553" t="s">
        <v>669</v>
      </c>
      <c r="I553">
        <v>1996</v>
      </c>
      <c r="J553" t="s">
        <v>139</v>
      </c>
      <c r="K553" t="s">
        <v>91</v>
      </c>
      <c r="M553" t="s">
        <v>91</v>
      </c>
      <c r="N553">
        <v>1</v>
      </c>
      <c r="O553">
        <v>0</v>
      </c>
      <c r="P553" t="s">
        <v>91</v>
      </c>
      <c r="Q553">
        <v>1</v>
      </c>
      <c r="R553" t="s">
        <v>947</v>
      </c>
      <c r="S553" t="s">
        <v>91</v>
      </c>
      <c r="T553" t="s">
        <v>91</v>
      </c>
      <c r="U553" s="144"/>
    </row>
    <row r="554" spans="1:21">
      <c r="A554">
        <v>552</v>
      </c>
      <c r="B554" t="s">
        <v>658</v>
      </c>
      <c r="C554" t="s">
        <v>653</v>
      </c>
      <c r="D554" t="s">
        <v>1585</v>
      </c>
      <c r="E554" t="s">
        <v>468</v>
      </c>
      <c r="F554" t="s">
        <v>28</v>
      </c>
      <c r="G554" t="s">
        <v>28</v>
      </c>
      <c r="H554" t="s">
        <v>678</v>
      </c>
      <c r="J554" t="s">
        <v>91</v>
      </c>
      <c r="K554" t="s">
        <v>91</v>
      </c>
      <c r="M554" t="s">
        <v>91</v>
      </c>
      <c r="N554">
        <v>1</v>
      </c>
      <c r="O554">
        <v>0</v>
      </c>
      <c r="P554" t="s">
        <v>91</v>
      </c>
      <c r="Q554">
        <v>1</v>
      </c>
      <c r="R554" t="s">
        <v>947</v>
      </c>
      <c r="S554" t="s">
        <v>91</v>
      </c>
      <c r="T554" t="s">
        <v>91</v>
      </c>
      <c r="U554" s="144"/>
    </row>
    <row r="555" spans="1:21">
      <c r="A555">
        <v>553</v>
      </c>
      <c r="B555" t="s">
        <v>658</v>
      </c>
      <c r="C555" t="s">
        <v>656</v>
      </c>
      <c r="D555" t="s">
        <v>1587</v>
      </c>
      <c r="E555" t="s">
        <v>468</v>
      </c>
      <c r="F555" t="s">
        <v>28</v>
      </c>
      <c r="G555" t="s">
        <v>28</v>
      </c>
      <c r="H555" t="s">
        <v>672</v>
      </c>
      <c r="I555">
        <v>1992</v>
      </c>
      <c r="J555" t="s">
        <v>91</v>
      </c>
      <c r="K555" t="s">
        <v>91</v>
      </c>
      <c r="M555" t="s">
        <v>139</v>
      </c>
      <c r="N555">
        <v>0</v>
      </c>
      <c r="O555">
        <v>0</v>
      </c>
      <c r="P555" t="s">
        <v>91</v>
      </c>
      <c r="Q555">
        <v>1</v>
      </c>
      <c r="R555" t="s">
        <v>947</v>
      </c>
      <c r="S555" t="s">
        <v>1588</v>
      </c>
      <c r="T555">
        <v>0</v>
      </c>
      <c r="U555" s="144"/>
    </row>
  </sheetData>
  <sortState ref="A2:U555">
    <sortCondition ref="B2:B555"/>
    <sortCondition ref="E2:E555"/>
    <sortCondition ref="G2:G555"/>
  </sortState>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54B426-4A05-427A-AB8F-DC45AAC98267}">
  <dimension ref="A1:K555"/>
  <sheetViews>
    <sheetView workbookViewId="0">
      <selection activeCell="L7" sqref="L7"/>
    </sheetView>
  </sheetViews>
  <sheetFormatPr defaultColWidth="9.125" defaultRowHeight="15"/>
  <cols>
    <col min="1" max="1" width="7" style="1" customWidth="1"/>
    <col min="2" max="2" width="24.125" style="1" customWidth="1"/>
    <col min="3" max="3" width="41.375" style="1" customWidth="1"/>
    <col min="4" max="4" width="9.375" style="1" customWidth="1"/>
    <col min="5" max="5" width="19.625" style="1" customWidth="1"/>
    <col min="6" max="6" width="17" style="1" customWidth="1"/>
    <col min="7" max="7" width="16.25" style="1" customWidth="1"/>
    <col min="8" max="8" width="15" style="1" customWidth="1"/>
    <col min="9" max="9" width="15.25" style="1" bestFit="1" customWidth="1"/>
    <col min="10" max="10" width="17.5" style="1" customWidth="1"/>
    <col min="11" max="11" width="15.25" style="1" customWidth="1"/>
    <col min="12" max="16384" width="9.125" style="1"/>
  </cols>
  <sheetData>
    <row r="1" spans="1:11" ht="31.9" customHeight="1">
      <c r="A1" s="156" t="s">
        <v>0</v>
      </c>
      <c r="B1" s="86" t="s">
        <v>100</v>
      </c>
      <c r="C1" s="158" t="s">
        <v>4</v>
      </c>
      <c r="D1" s="84" t="s">
        <v>829</v>
      </c>
      <c r="E1" s="162" t="s">
        <v>2</v>
      </c>
      <c r="F1" s="162" t="s">
        <v>3</v>
      </c>
      <c r="G1" s="158" t="s">
        <v>1</v>
      </c>
      <c r="H1" s="160" t="s">
        <v>17</v>
      </c>
      <c r="I1" s="27" t="s">
        <v>89</v>
      </c>
      <c r="J1" s="27" t="s">
        <v>90</v>
      </c>
      <c r="K1" s="27" t="s">
        <v>31</v>
      </c>
    </row>
    <row r="2" spans="1:11" s="13" customFormat="1" ht="54.75" customHeight="1">
      <c r="A2" s="157"/>
      <c r="B2" s="30"/>
      <c r="C2" s="159"/>
      <c r="D2" s="85"/>
      <c r="E2" s="163"/>
      <c r="F2" s="163"/>
      <c r="G2" s="159"/>
      <c r="H2" s="161"/>
      <c r="I2" s="28"/>
      <c r="J2" s="28"/>
      <c r="K2" s="28"/>
    </row>
    <row r="3" spans="1:11" s="5" customFormat="1" ht="20.25" customHeight="1">
      <c r="A3" s="33">
        <v>1</v>
      </c>
      <c r="B3" s="33" t="s">
        <v>101</v>
      </c>
      <c r="C3" s="34" t="s">
        <v>60</v>
      </c>
      <c r="D3" t="str">
        <f>"0401010"</f>
        <v>0401010</v>
      </c>
      <c r="E3" s="57" t="s">
        <v>22</v>
      </c>
      <c r="F3" s="34" t="s">
        <v>25</v>
      </c>
      <c r="G3" s="34" t="s">
        <v>48</v>
      </c>
      <c r="H3" s="35" t="s">
        <v>25</v>
      </c>
      <c r="I3" s="36">
        <v>1933</v>
      </c>
      <c r="J3" s="37" t="s">
        <v>39</v>
      </c>
      <c r="K3" s="34" t="s">
        <v>91</v>
      </c>
    </row>
    <row r="4" spans="1:11" s="5" customFormat="1" ht="20.25" customHeight="1">
      <c r="A4" s="33">
        <v>2</v>
      </c>
      <c r="B4" s="33" t="s">
        <v>101</v>
      </c>
      <c r="C4" s="34" t="s">
        <v>61</v>
      </c>
      <c r="D4" t="str">
        <f>"0401020"</f>
        <v>0401020</v>
      </c>
      <c r="E4" s="57" t="s">
        <v>22</v>
      </c>
      <c r="F4" s="34" t="s">
        <v>25</v>
      </c>
      <c r="G4" s="34" t="s">
        <v>48</v>
      </c>
      <c r="H4" s="35" t="s">
        <v>25</v>
      </c>
      <c r="I4" s="36">
        <v>1993</v>
      </c>
      <c r="J4" s="29" t="s">
        <v>39</v>
      </c>
      <c r="K4" s="34" t="s">
        <v>91</v>
      </c>
    </row>
    <row r="5" spans="1:11" s="5" customFormat="1" ht="20.25" customHeight="1">
      <c r="A5" s="33">
        <v>3</v>
      </c>
      <c r="B5" s="33" t="s">
        <v>101</v>
      </c>
      <c r="C5" s="34" t="s">
        <v>62</v>
      </c>
      <c r="D5" t="str">
        <f>"0401030"</f>
        <v>0401030</v>
      </c>
      <c r="E5" s="57" t="s">
        <v>22</v>
      </c>
      <c r="F5" s="34" t="s">
        <v>25</v>
      </c>
      <c r="G5" s="34" t="s">
        <v>48</v>
      </c>
      <c r="H5" s="35" t="s">
        <v>25</v>
      </c>
      <c r="I5" s="36">
        <v>1975</v>
      </c>
      <c r="J5" s="29" t="s">
        <v>39</v>
      </c>
      <c r="K5" s="34" t="s">
        <v>91</v>
      </c>
    </row>
    <row r="6" spans="1:11" s="5" customFormat="1" ht="20.25" customHeight="1">
      <c r="A6" s="33">
        <v>4</v>
      </c>
      <c r="B6" s="33" t="s">
        <v>101</v>
      </c>
      <c r="C6" s="34" t="s">
        <v>63</v>
      </c>
      <c r="D6" t="str">
        <f>"0401031"</f>
        <v>0401031</v>
      </c>
      <c r="E6" s="57" t="s">
        <v>22</v>
      </c>
      <c r="F6" s="34" t="s">
        <v>25</v>
      </c>
      <c r="G6" s="34" t="s">
        <v>48</v>
      </c>
      <c r="H6" s="35" t="s">
        <v>25</v>
      </c>
      <c r="I6" s="34">
        <v>1978</v>
      </c>
      <c r="J6" s="29" t="s">
        <v>39</v>
      </c>
      <c r="K6" s="34" t="s">
        <v>91</v>
      </c>
    </row>
    <row r="7" spans="1:11" ht="40.9" customHeight="1">
      <c r="A7" s="33">
        <v>5</v>
      </c>
      <c r="B7" s="33" t="s">
        <v>101</v>
      </c>
      <c r="C7" s="34" t="s">
        <v>64</v>
      </c>
      <c r="D7" t="str">
        <f>"0401032"</f>
        <v>0401032</v>
      </c>
      <c r="E7" s="57" t="s">
        <v>22</v>
      </c>
      <c r="F7" s="34" t="s">
        <v>25</v>
      </c>
      <c r="G7" s="34" t="s">
        <v>48</v>
      </c>
      <c r="H7" s="35" t="s">
        <v>25</v>
      </c>
      <c r="I7" s="58" t="s">
        <v>92</v>
      </c>
      <c r="J7" s="97" t="s">
        <v>907</v>
      </c>
      <c r="K7" s="34" t="s">
        <v>91</v>
      </c>
    </row>
    <row r="8" spans="1:11" ht="48" customHeight="1">
      <c r="A8" s="33">
        <v>6</v>
      </c>
      <c r="B8" s="33" t="s">
        <v>101</v>
      </c>
      <c r="C8" s="34" t="s">
        <v>102</v>
      </c>
      <c r="D8" t="str">
        <f>"0401015"</f>
        <v>0401015</v>
      </c>
      <c r="E8" s="57" t="s">
        <v>22</v>
      </c>
      <c r="F8" s="34" t="s">
        <v>25</v>
      </c>
      <c r="G8" s="34" t="s">
        <v>48</v>
      </c>
      <c r="H8" s="35" t="s">
        <v>25</v>
      </c>
      <c r="I8" s="34">
        <v>1993</v>
      </c>
      <c r="J8" s="29" t="s">
        <v>39</v>
      </c>
      <c r="K8" s="34" t="s">
        <v>91</v>
      </c>
    </row>
    <row r="9" spans="1:11" ht="50.25" customHeight="1">
      <c r="A9" s="33">
        <v>7</v>
      </c>
      <c r="B9" s="33" t="s">
        <v>101</v>
      </c>
      <c r="C9" s="34" t="s">
        <v>66</v>
      </c>
      <c r="D9" t="str">
        <f>"0408010"</f>
        <v>0408010</v>
      </c>
      <c r="E9" s="57" t="s">
        <v>22</v>
      </c>
      <c r="F9" s="34" t="s">
        <v>25</v>
      </c>
      <c r="G9" s="34" t="s">
        <v>48</v>
      </c>
      <c r="H9" s="24" t="s">
        <v>52</v>
      </c>
      <c r="I9" s="36">
        <v>1984</v>
      </c>
      <c r="J9" s="29" t="s">
        <v>39</v>
      </c>
      <c r="K9" s="34" t="s">
        <v>91</v>
      </c>
    </row>
    <row r="10" spans="1:11" ht="46.5" customHeight="1">
      <c r="A10" s="33">
        <v>8</v>
      </c>
      <c r="B10" s="33" t="s">
        <v>101</v>
      </c>
      <c r="C10" s="34" t="s">
        <v>67</v>
      </c>
      <c r="D10" t="str">
        <f>"0401040"</f>
        <v>0401040</v>
      </c>
      <c r="E10" s="57" t="s">
        <v>22</v>
      </c>
      <c r="F10" s="34" t="s">
        <v>25</v>
      </c>
      <c r="G10" s="34" t="s">
        <v>48</v>
      </c>
      <c r="H10" s="35" t="s">
        <v>25</v>
      </c>
      <c r="I10" s="36">
        <v>1989</v>
      </c>
      <c r="J10" s="29" t="s">
        <v>39</v>
      </c>
      <c r="K10" s="34" t="s">
        <v>91</v>
      </c>
    </row>
    <row r="11" spans="1:11">
      <c r="A11" s="33">
        <v>9</v>
      </c>
      <c r="B11" s="33" t="s">
        <v>101</v>
      </c>
      <c r="C11" s="34" t="s">
        <v>103</v>
      </c>
      <c r="D11" t="str">
        <f>"0413010"</f>
        <v>0413010</v>
      </c>
      <c r="E11" s="57" t="s">
        <v>22</v>
      </c>
      <c r="F11" s="34" t="s">
        <v>25</v>
      </c>
      <c r="G11" s="34" t="s">
        <v>48</v>
      </c>
      <c r="H11" s="35" t="s">
        <v>25</v>
      </c>
      <c r="I11" s="34">
        <v>1990</v>
      </c>
      <c r="J11" s="29" t="s">
        <v>39</v>
      </c>
      <c r="K11" s="34" t="s">
        <v>91</v>
      </c>
    </row>
    <row r="12" spans="1:11">
      <c r="A12" s="33">
        <v>10</v>
      </c>
      <c r="B12" s="33" t="s">
        <v>101</v>
      </c>
      <c r="C12" s="34" t="s">
        <v>71</v>
      </c>
      <c r="D12" t="str">
        <f>"0413020"</f>
        <v>0413020</v>
      </c>
      <c r="E12" s="57" t="s">
        <v>22</v>
      </c>
      <c r="F12" s="34" t="s">
        <v>25</v>
      </c>
      <c r="G12" s="34" t="s">
        <v>48</v>
      </c>
      <c r="H12" s="35" t="s">
        <v>25</v>
      </c>
      <c r="I12" s="36">
        <v>2005</v>
      </c>
      <c r="J12" s="29" t="s">
        <v>39</v>
      </c>
      <c r="K12" s="34" t="s">
        <v>91</v>
      </c>
    </row>
    <row r="13" spans="1:11">
      <c r="A13" s="33">
        <v>11</v>
      </c>
      <c r="B13" s="33" t="s">
        <v>101</v>
      </c>
      <c r="C13" s="34" t="s">
        <v>43</v>
      </c>
      <c r="D13" t="str">
        <f>"0404010"</f>
        <v>0404010</v>
      </c>
      <c r="E13" s="57" t="s">
        <v>22</v>
      </c>
      <c r="F13" s="34" t="s">
        <v>25</v>
      </c>
      <c r="G13" s="34" t="s">
        <v>49</v>
      </c>
      <c r="H13" s="24" t="s">
        <v>53</v>
      </c>
      <c r="I13" s="36">
        <v>1972</v>
      </c>
      <c r="J13" s="29" t="s">
        <v>39</v>
      </c>
      <c r="K13" s="34" t="s">
        <v>91</v>
      </c>
    </row>
    <row r="14" spans="1:11">
      <c r="A14" s="33">
        <v>12</v>
      </c>
      <c r="B14" s="33" t="s">
        <v>101</v>
      </c>
      <c r="C14" s="34" t="s">
        <v>69</v>
      </c>
      <c r="D14" t="str">
        <f>"0412010"</f>
        <v>0412010</v>
      </c>
      <c r="E14" s="57" t="s">
        <v>22</v>
      </c>
      <c r="F14" s="34" t="s">
        <v>25</v>
      </c>
      <c r="G14" s="34" t="s">
        <v>49</v>
      </c>
      <c r="H14" s="24" t="s">
        <v>58</v>
      </c>
      <c r="I14" s="36">
        <v>1994</v>
      </c>
      <c r="J14" s="29" t="s">
        <v>39</v>
      </c>
      <c r="K14" s="34" t="s">
        <v>91</v>
      </c>
    </row>
    <row r="15" spans="1:11">
      <c r="A15" s="33">
        <v>13</v>
      </c>
      <c r="B15" s="33" t="s">
        <v>101</v>
      </c>
      <c r="C15" s="34" t="s">
        <v>65</v>
      </c>
      <c r="D15" t="str">
        <f>"0402010"</f>
        <v>0402010</v>
      </c>
      <c r="E15" s="57" t="s">
        <v>22</v>
      </c>
      <c r="F15" s="34" t="s">
        <v>25</v>
      </c>
      <c r="G15" s="34" t="s">
        <v>50</v>
      </c>
      <c r="H15" s="24" t="s">
        <v>57</v>
      </c>
      <c r="I15" s="36">
        <v>1985</v>
      </c>
      <c r="J15" s="50" t="s">
        <v>39</v>
      </c>
      <c r="K15" s="34" t="s">
        <v>91</v>
      </c>
    </row>
    <row r="16" spans="1:11">
      <c r="A16" s="33">
        <v>14</v>
      </c>
      <c r="B16" s="33" t="s">
        <v>101</v>
      </c>
      <c r="C16" s="34" t="s">
        <v>44</v>
      </c>
      <c r="D16" t="str">
        <f>"0403010"</f>
        <v>0403010</v>
      </c>
      <c r="E16" s="57" t="s">
        <v>22</v>
      </c>
      <c r="F16" s="34" t="s">
        <v>25</v>
      </c>
      <c r="G16" s="34" t="s">
        <v>50</v>
      </c>
      <c r="H16" s="24" t="s">
        <v>54</v>
      </c>
      <c r="I16" s="36">
        <v>1979</v>
      </c>
      <c r="J16" s="29" t="s">
        <v>39</v>
      </c>
      <c r="K16" s="34" t="s">
        <v>91</v>
      </c>
    </row>
    <row r="17" spans="1:11">
      <c r="A17" s="33">
        <v>15</v>
      </c>
      <c r="B17" s="33" t="s">
        <v>101</v>
      </c>
      <c r="C17" s="34" t="s">
        <v>45</v>
      </c>
      <c r="D17" t="str">
        <f>"0406010"</f>
        <v>0406010</v>
      </c>
      <c r="E17" s="57" t="s">
        <v>22</v>
      </c>
      <c r="F17" s="34" t="s">
        <v>25</v>
      </c>
      <c r="G17" s="34" t="s">
        <v>51</v>
      </c>
      <c r="H17" s="24" t="s">
        <v>59</v>
      </c>
      <c r="I17" s="36">
        <v>1973</v>
      </c>
      <c r="J17" s="29" t="s">
        <v>39</v>
      </c>
      <c r="K17" s="34" t="s">
        <v>91</v>
      </c>
    </row>
    <row r="18" spans="1:11">
      <c r="A18" s="33">
        <v>16</v>
      </c>
      <c r="B18" s="33" t="s">
        <v>101</v>
      </c>
      <c r="C18" s="34" t="s">
        <v>68</v>
      </c>
      <c r="D18" t="str">
        <f>"0407010"</f>
        <v>0407010</v>
      </c>
      <c r="E18" s="57" t="s">
        <v>22</v>
      </c>
      <c r="F18" s="34" t="s">
        <v>25</v>
      </c>
      <c r="G18" s="34" t="s">
        <v>51</v>
      </c>
      <c r="H18" s="24" t="s">
        <v>55</v>
      </c>
      <c r="I18" s="36">
        <v>1984</v>
      </c>
      <c r="J18" s="29" t="s">
        <v>39</v>
      </c>
      <c r="K18" s="34" t="s">
        <v>91</v>
      </c>
    </row>
    <row r="19" spans="1:11">
      <c r="A19" s="33">
        <v>17</v>
      </c>
      <c r="B19" s="33" t="s">
        <v>101</v>
      </c>
      <c r="C19" s="34" t="s">
        <v>70</v>
      </c>
      <c r="D19" t="str">
        <f>"0411010"</f>
        <v>0411010</v>
      </c>
      <c r="E19" s="57" t="s">
        <v>22</v>
      </c>
      <c r="F19" s="34" t="s">
        <v>25</v>
      </c>
      <c r="G19" s="34" t="s">
        <v>51</v>
      </c>
      <c r="H19" s="24" t="s">
        <v>56</v>
      </c>
      <c r="I19" s="36">
        <v>1985</v>
      </c>
      <c r="J19" s="29" t="s">
        <v>39</v>
      </c>
      <c r="K19" s="34" t="s">
        <v>91</v>
      </c>
    </row>
    <row r="20" spans="1:11">
      <c r="A20" s="33">
        <v>18</v>
      </c>
      <c r="B20" s="33" t="s">
        <v>101</v>
      </c>
      <c r="C20" s="34" t="s">
        <v>72</v>
      </c>
      <c r="D20" t="str">
        <f>"0401035"</f>
        <v>0401035</v>
      </c>
      <c r="E20" s="57" t="s">
        <v>84</v>
      </c>
      <c r="F20" s="34" t="s">
        <v>25</v>
      </c>
      <c r="G20" s="34" t="s">
        <v>48</v>
      </c>
      <c r="H20" s="35" t="s">
        <v>25</v>
      </c>
      <c r="I20" s="58" t="s">
        <v>92</v>
      </c>
      <c r="J20" s="58" t="s">
        <v>92</v>
      </c>
      <c r="K20" s="34" t="s">
        <v>91</v>
      </c>
    </row>
    <row r="21" spans="1:11">
      <c r="A21" s="33">
        <v>19</v>
      </c>
      <c r="B21" s="33" t="s">
        <v>101</v>
      </c>
      <c r="C21" s="34" t="s">
        <v>73</v>
      </c>
      <c r="D21" t="str">
        <f>"0441001"</f>
        <v>0441001</v>
      </c>
      <c r="E21" s="57" t="s">
        <v>85</v>
      </c>
      <c r="F21" s="34" t="s">
        <v>25</v>
      </c>
      <c r="G21" s="34" t="s">
        <v>48</v>
      </c>
      <c r="H21" s="35" t="s">
        <v>25</v>
      </c>
      <c r="I21" s="36">
        <v>1952</v>
      </c>
      <c r="J21" s="29" t="s">
        <v>39</v>
      </c>
      <c r="K21" s="34" t="s">
        <v>91</v>
      </c>
    </row>
    <row r="22" spans="1:11">
      <c r="A22" s="33">
        <v>20</v>
      </c>
      <c r="B22" s="33" t="s">
        <v>101</v>
      </c>
      <c r="C22" s="59" t="s">
        <v>82</v>
      </c>
      <c r="D22" t="str">
        <f>"0404000"</f>
        <v>0404000</v>
      </c>
      <c r="E22" s="16" t="s">
        <v>87</v>
      </c>
      <c r="F22" s="34" t="s">
        <v>25</v>
      </c>
      <c r="G22" s="51" t="s">
        <v>48</v>
      </c>
      <c r="H22" s="35" t="s">
        <v>25</v>
      </c>
      <c r="I22" s="36">
        <v>1977</v>
      </c>
      <c r="J22" s="60" t="s">
        <v>39</v>
      </c>
      <c r="K22" s="34" t="s">
        <v>91</v>
      </c>
    </row>
    <row r="23" spans="1:11">
      <c r="A23" s="33">
        <v>21</v>
      </c>
      <c r="B23" s="33" t="s">
        <v>101</v>
      </c>
      <c r="C23" s="34" t="s">
        <v>74</v>
      </c>
      <c r="D23" t="str">
        <f>"0440025"</f>
        <v>0440025</v>
      </c>
      <c r="E23" s="57" t="s">
        <v>86</v>
      </c>
      <c r="F23" s="34" t="s">
        <v>25</v>
      </c>
      <c r="G23" s="34" t="s">
        <v>48</v>
      </c>
      <c r="H23" s="35" t="s">
        <v>25</v>
      </c>
      <c r="I23" s="36">
        <v>1977</v>
      </c>
      <c r="J23" s="29" t="s">
        <v>39</v>
      </c>
      <c r="K23" s="34" t="s">
        <v>91</v>
      </c>
    </row>
    <row r="24" spans="1:11">
      <c r="A24" s="33">
        <v>22</v>
      </c>
      <c r="B24" s="33" t="s">
        <v>101</v>
      </c>
      <c r="C24" s="34" t="s">
        <v>75</v>
      </c>
      <c r="D24" t="str">
        <f>"0440030"</f>
        <v>0440030</v>
      </c>
      <c r="E24" s="57" t="s">
        <v>86</v>
      </c>
      <c r="F24" s="34" t="s">
        <v>25</v>
      </c>
      <c r="G24" s="34" t="s">
        <v>48</v>
      </c>
      <c r="H24" s="35" t="s">
        <v>25</v>
      </c>
      <c r="I24" s="36">
        <v>1977</v>
      </c>
      <c r="J24" s="29" t="s">
        <v>39</v>
      </c>
      <c r="K24" s="34" t="s">
        <v>91</v>
      </c>
    </row>
    <row r="25" spans="1:11">
      <c r="A25" s="33">
        <v>23</v>
      </c>
      <c r="B25" s="33" t="s">
        <v>101</v>
      </c>
      <c r="C25" s="34" t="s">
        <v>83</v>
      </c>
      <c r="D25" t="str">
        <f>"0441000"</f>
        <v>0441000</v>
      </c>
      <c r="E25" s="57" t="s">
        <v>86</v>
      </c>
      <c r="F25" s="34" t="s">
        <v>25</v>
      </c>
      <c r="G25" s="34" t="s">
        <v>48</v>
      </c>
      <c r="H25" s="35" t="s">
        <v>25</v>
      </c>
      <c r="I25" s="36">
        <v>1977</v>
      </c>
      <c r="J25" s="60" t="s">
        <v>39</v>
      </c>
      <c r="K25" s="34" t="s">
        <v>91</v>
      </c>
    </row>
    <row r="26" spans="1:11">
      <c r="A26" s="33">
        <v>24</v>
      </c>
      <c r="B26" s="33" t="s">
        <v>101</v>
      </c>
      <c r="C26" s="34" t="s">
        <v>104</v>
      </c>
      <c r="D26" t="str">
        <f>"0451010"</f>
        <v>0451010</v>
      </c>
      <c r="E26" s="57" t="s">
        <v>23</v>
      </c>
      <c r="F26" s="34" t="s">
        <v>25</v>
      </c>
      <c r="G26" s="34" t="s">
        <v>48</v>
      </c>
      <c r="H26" s="35" t="s">
        <v>25</v>
      </c>
      <c r="I26" s="36">
        <v>1933</v>
      </c>
      <c r="J26" s="29" t="s">
        <v>39</v>
      </c>
      <c r="K26" s="34" t="s">
        <v>91</v>
      </c>
    </row>
    <row r="27" spans="1:11">
      <c r="A27" s="33">
        <v>25</v>
      </c>
      <c r="B27" s="33" t="s">
        <v>101</v>
      </c>
      <c r="C27" s="34" t="s">
        <v>76</v>
      </c>
      <c r="D27" t="str">
        <f>"0451020"</f>
        <v>0451020</v>
      </c>
      <c r="E27" s="57" t="s">
        <v>23</v>
      </c>
      <c r="F27" s="34" t="s">
        <v>25</v>
      </c>
      <c r="G27" s="34" t="s">
        <v>48</v>
      </c>
      <c r="H27" s="35" t="s">
        <v>25</v>
      </c>
      <c r="I27" s="36">
        <v>1993</v>
      </c>
      <c r="J27" s="29" t="s">
        <v>39</v>
      </c>
      <c r="K27" s="34" t="s">
        <v>91</v>
      </c>
    </row>
    <row r="28" spans="1:11">
      <c r="A28" s="33">
        <v>26</v>
      </c>
      <c r="B28" s="33" t="s">
        <v>101</v>
      </c>
      <c r="C28" s="34" t="s">
        <v>77</v>
      </c>
      <c r="D28" t="str">
        <f>"0451030"</f>
        <v>0451030</v>
      </c>
      <c r="E28" s="57" t="s">
        <v>23</v>
      </c>
      <c r="F28" s="34" t="s">
        <v>25</v>
      </c>
      <c r="G28" s="34" t="s">
        <v>48</v>
      </c>
      <c r="H28" s="35" t="s">
        <v>25</v>
      </c>
      <c r="I28" s="36">
        <v>1969</v>
      </c>
      <c r="J28" s="29" t="s">
        <v>39</v>
      </c>
      <c r="K28" s="34" t="s">
        <v>91</v>
      </c>
    </row>
    <row r="29" spans="1:11">
      <c r="A29" s="33">
        <v>27</v>
      </c>
      <c r="B29" s="33" t="s">
        <v>101</v>
      </c>
      <c r="C29" s="34" t="s">
        <v>105</v>
      </c>
      <c r="D29" t="str">
        <f>"0451031"</f>
        <v>0451031</v>
      </c>
      <c r="E29" s="57" t="s">
        <v>23</v>
      </c>
      <c r="F29" s="34" t="s">
        <v>25</v>
      </c>
      <c r="G29" s="34" t="s">
        <v>48</v>
      </c>
      <c r="H29" s="35" t="s">
        <v>25</v>
      </c>
      <c r="I29" s="34">
        <v>1978</v>
      </c>
      <c r="J29" s="29" t="s">
        <v>39</v>
      </c>
      <c r="K29" s="34" t="s">
        <v>91</v>
      </c>
    </row>
    <row r="30" spans="1:11">
      <c r="A30" s="33">
        <v>28</v>
      </c>
      <c r="B30" s="33" t="s">
        <v>101</v>
      </c>
      <c r="C30" s="34" t="s">
        <v>79</v>
      </c>
      <c r="D30" t="str">
        <f>"0451015"</f>
        <v>0451015</v>
      </c>
      <c r="E30" s="57" t="s">
        <v>23</v>
      </c>
      <c r="F30" s="34" t="s">
        <v>25</v>
      </c>
      <c r="G30" s="34" t="s">
        <v>48</v>
      </c>
      <c r="H30" s="35" t="s">
        <v>25</v>
      </c>
      <c r="I30" s="34">
        <v>1933</v>
      </c>
      <c r="J30" s="29" t="s">
        <v>39</v>
      </c>
      <c r="K30" s="34" t="s">
        <v>91</v>
      </c>
    </row>
    <row r="31" spans="1:11">
      <c r="A31" s="33">
        <v>29</v>
      </c>
      <c r="B31" s="33" t="s">
        <v>101</v>
      </c>
      <c r="C31" s="34" t="s">
        <v>80</v>
      </c>
      <c r="D31" t="str">
        <f>"0458010"</f>
        <v>0458010</v>
      </c>
      <c r="E31" s="57" t="s">
        <v>23</v>
      </c>
      <c r="F31" s="34" t="s">
        <v>25</v>
      </c>
      <c r="G31" s="34" t="s">
        <v>48</v>
      </c>
      <c r="H31" s="16" t="s">
        <v>52</v>
      </c>
      <c r="I31" s="36">
        <v>1984</v>
      </c>
      <c r="J31" s="37" t="s">
        <v>39</v>
      </c>
      <c r="K31" s="34" t="s">
        <v>91</v>
      </c>
    </row>
    <row r="32" spans="1:11">
      <c r="A32" s="33">
        <v>30</v>
      </c>
      <c r="B32" s="33" t="s">
        <v>101</v>
      </c>
      <c r="C32" s="34" t="s">
        <v>46</v>
      </c>
      <c r="D32" t="str">
        <f>"0462010"</f>
        <v>0462010</v>
      </c>
      <c r="E32" s="57" t="s">
        <v>23</v>
      </c>
      <c r="F32" s="34" t="s">
        <v>25</v>
      </c>
      <c r="G32" s="34" t="s">
        <v>49</v>
      </c>
      <c r="H32" s="16" t="s">
        <v>58</v>
      </c>
      <c r="I32" s="36">
        <v>1994</v>
      </c>
      <c r="J32" s="29" t="s">
        <v>39</v>
      </c>
      <c r="K32" s="34" t="s">
        <v>91</v>
      </c>
    </row>
    <row r="33" spans="1:11">
      <c r="A33" s="33">
        <v>31</v>
      </c>
      <c r="B33" s="33" t="s">
        <v>101</v>
      </c>
      <c r="C33" s="34" t="s">
        <v>81</v>
      </c>
      <c r="D33" t="str">
        <f>"0454010"</f>
        <v>0454010</v>
      </c>
      <c r="E33" s="57" t="s">
        <v>23</v>
      </c>
      <c r="F33" s="34" t="s">
        <v>25</v>
      </c>
      <c r="G33" s="34" t="s">
        <v>49</v>
      </c>
      <c r="H33" s="16" t="s">
        <v>53</v>
      </c>
      <c r="I33" s="36">
        <v>1997</v>
      </c>
      <c r="J33" s="37" t="s">
        <v>39</v>
      </c>
      <c r="K33" s="34" t="s">
        <v>91</v>
      </c>
    </row>
    <row r="34" spans="1:11">
      <c r="A34" s="33">
        <v>32</v>
      </c>
      <c r="B34" s="33" t="s">
        <v>101</v>
      </c>
      <c r="C34" s="34" t="s">
        <v>78</v>
      </c>
      <c r="D34" t="str">
        <f>"0453010"</f>
        <v>0453010</v>
      </c>
      <c r="E34" s="57" t="s">
        <v>23</v>
      </c>
      <c r="F34" s="34" t="s">
        <v>25</v>
      </c>
      <c r="G34" s="34" t="s">
        <v>50</v>
      </c>
      <c r="H34" s="35" t="s">
        <v>25</v>
      </c>
      <c r="I34" s="36">
        <v>1979</v>
      </c>
      <c r="J34" s="29" t="s">
        <v>39</v>
      </c>
      <c r="K34" s="34" t="s">
        <v>91</v>
      </c>
    </row>
    <row r="35" spans="1:11">
      <c r="A35" s="33">
        <v>33</v>
      </c>
      <c r="B35" s="33" t="s">
        <v>101</v>
      </c>
      <c r="C35" s="34" t="s">
        <v>88</v>
      </c>
      <c r="D35" t="str">
        <f>"0457010"</f>
        <v>0457010</v>
      </c>
      <c r="E35" s="57" t="s">
        <v>23</v>
      </c>
      <c r="F35" s="34" t="s">
        <v>25</v>
      </c>
      <c r="G35" s="34" t="s">
        <v>51</v>
      </c>
      <c r="H35" s="16" t="s">
        <v>55</v>
      </c>
      <c r="I35" s="36">
        <v>1984</v>
      </c>
      <c r="J35" s="37" t="s">
        <v>39</v>
      </c>
      <c r="K35" s="34" t="s">
        <v>91</v>
      </c>
    </row>
    <row r="36" spans="1:11">
      <c r="A36" s="33">
        <v>34</v>
      </c>
      <c r="B36" s="33" t="s">
        <v>101</v>
      </c>
      <c r="C36" s="34" t="s">
        <v>47</v>
      </c>
      <c r="D36" t="str">
        <f>"0456010"</f>
        <v>0456010</v>
      </c>
      <c r="E36" s="57" t="s">
        <v>23</v>
      </c>
      <c r="F36" s="34" t="s">
        <v>25</v>
      </c>
      <c r="G36" s="34" t="s">
        <v>51</v>
      </c>
      <c r="H36" s="16" t="s">
        <v>59</v>
      </c>
      <c r="I36" s="36">
        <v>1987</v>
      </c>
      <c r="J36" s="37" t="s">
        <v>39</v>
      </c>
      <c r="K36" s="34" t="s">
        <v>91</v>
      </c>
    </row>
    <row r="37" spans="1:11">
      <c r="A37" s="33">
        <v>35</v>
      </c>
      <c r="B37" s="52" t="s">
        <v>219</v>
      </c>
      <c r="C37" s="52" t="s">
        <v>106</v>
      </c>
      <c r="D37" t="str">
        <f>"1801010"</f>
        <v>1801010</v>
      </c>
      <c r="E37" s="57" t="s">
        <v>22</v>
      </c>
      <c r="F37" s="16" t="s">
        <v>26</v>
      </c>
      <c r="G37" s="61" t="s">
        <v>129</v>
      </c>
      <c r="H37" s="16" t="s">
        <v>129</v>
      </c>
      <c r="I37" s="52">
        <v>1970</v>
      </c>
      <c r="J37" s="29" t="s">
        <v>91</v>
      </c>
      <c r="K37" s="52" t="s">
        <v>91</v>
      </c>
    </row>
    <row r="38" spans="1:11">
      <c r="A38" s="33">
        <v>36</v>
      </c>
      <c r="B38" s="52" t="s">
        <v>219</v>
      </c>
      <c r="C38" s="52" t="s">
        <v>108</v>
      </c>
      <c r="D38" t="str">
        <f>"1801011"</f>
        <v>1801011</v>
      </c>
      <c r="E38" s="57" t="s">
        <v>22</v>
      </c>
      <c r="F38" s="16" t="s">
        <v>26</v>
      </c>
      <c r="G38" s="61" t="s">
        <v>129</v>
      </c>
      <c r="H38" s="16" t="s">
        <v>129</v>
      </c>
      <c r="I38" s="53">
        <v>2001</v>
      </c>
      <c r="J38" s="29" t="s">
        <v>139</v>
      </c>
      <c r="K38" s="52" t="s">
        <v>91</v>
      </c>
    </row>
    <row r="39" spans="1:11" ht="45">
      <c r="A39" s="33">
        <v>37</v>
      </c>
      <c r="B39" s="52" t="s">
        <v>219</v>
      </c>
      <c r="C39" s="52" t="s">
        <v>109</v>
      </c>
      <c r="D39" t="str">
        <f>"1801012"</f>
        <v>1801012</v>
      </c>
      <c r="E39" s="57" t="s">
        <v>22</v>
      </c>
      <c r="F39" s="16" t="s">
        <v>26</v>
      </c>
      <c r="G39" s="61" t="s">
        <v>129</v>
      </c>
      <c r="H39" s="16" t="s">
        <v>129</v>
      </c>
      <c r="I39" s="68" t="s">
        <v>249</v>
      </c>
      <c r="J39" s="29" t="s">
        <v>139</v>
      </c>
      <c r="K39" s="52" t="s">
        <v>91</v>
      </c>
    </row>
    <row r="40" spans="1:11">
      <c r="A40" s="33">
        <v>38</v>
      </c>
      <c r="B40" s="52" t="s">
        <v>219</v>
      </c>
      <c r="C40" s="52" t="s">
        <v>110</v>
      </c>
      <c r="D40" t="str">
        <f>"1811201"</f>
        <v>1811201</v>
      </c>
      <c r="E40" s="57" t="s">
        <v>22</v>
      </c>
      <c r="F40" s="16" t="s">
        <v>26</v>
      </c>
      <c r="G40" s="61" t="s">
        <v>129</v>
      </c>
      <c r="H40" s="16" t="s">
        <v>129</v>
      </c>
      <c r="I40" s="53">
        <v>1991</v>
      </c>
      <c r="J40" s="29" t="s">
        <v>139</v>
      </c>
      <c r="K40" s="52" t="s">
        <v>91</v>
      </c>
    </row>
    <row r="41" spans="1:11">
      <c r="A41" s="33">
        <v>39</v>
      </c>
      <c r="B41" s="52" t="s">
        <v>219</v>
      </c>
      <c r="C41" s="52" t="s">
        <v>111</v>
      </c>
      <c r="D41" t="str">
        <f>"1801015"</f>
        <v>1801015</v>
      </c>
      <c r="E41" s="57" t="s">
        <v>22</v>
      </c>
      <c r="F41" s="16" t="s">
        <v>26</v>
      </c>
      <c r="G41" s="61" t="s">
        <v>129</v>
      </c>
      <c r="H41" s="16" t="s">
        <v>129</v>
      </c>
      <c r="I41" s="53">
        <v>1973</v>
      </c>
      <c r="J41" s="29" t="s">
        <v>91</v>
      </c>
      <c r="K41" s="52" t="s">
        <v>91</v>
      </c>
    </row>
    <row r="42" spans="1:11">
      <c r="A42" s="33">
        <v>40</v>
      </c>
      <c r="B42" s="52" t="s">
        <v>219</v>
      </c>
      <c r="C42" s="52" t="s">
        <v>113</v>
      </c>
      <c r="D42" t="str">
        <f>"1804010"</f>
        <v>1804010</v>
      </c>
      <c r="E42" s="57" t="s">
        <v>22</v>
      </c>
      <c r="F42" s="16" t="s">
        <v>26</v>
      </c>
      <c r="G42" s="61" t="s">
        <v>129</v>
      </c>
      <c r="H42" s="16" t="s">
        <v>133</v>
      </c>
      <c r="I42" s="53">
        <v>1980</v>
      </c>
      <c r="J42" s="29" t="s">
        <v>91</v>
      </c>
      <c r="K42" s="52" t="s">
        <v>91</v>
      </c>
    </row>
    <row r="43" spans="1:11" ht="45">
      <c r="A43" s="33">
        <v>41</v>
      </c>
      <c r="B43" s="52" t="s">
        <v>219</v>
      </c>
      <c r="C43" s="52" t="s">
        <v>114</v>
      </c>
      <c r="D43" t="str">
        <f>"1807010"</f>
        <v>1807010</v>
      </c>
      <c r="E43" s="57" t="s">
        <v>22</v>
      </c>
      <c r="F43" s="16" t="s">
        <v>26</v>
      </c>
      <c r="G43" s="61" t="s">
        <v>129</v>
      </c>
      <c r="H43" s="16" t="s">
        <v>138</v>
      </c>
      <c r="I43" s="68" t="s">
        <v>250</v>
      </c>
      <c r="J43" s="29" t="s">
        <v>139</v>
      </c>
      <c r="K43" s="52" t="s">
        <v>91</v>
      </c>
    </row>
    <row r="44" spans="1:11" ht="75">
      <c r="A44" s="33">
        <v>42</v>
      </c>
      <c r="B44" s="52" t="s">
        <v>219</v>
      </c>
      <c r="C44" s="52" t="s">
        <v>117</v>
      </c>
      <c r="D44" t="str">
        <f>"1804090"</f>
        <v>1804090</v>
      </c>
      <c r="E44" s="57" t="s">
        <v>22</v>
      </c>
      <c r="F44" s="16" t="s">
        <v>26</v>
      </c>
      <c r="G44" s="61" t="s">
        <v>129</v>
      </c>
      <c r="H44" s="16" t="s">
        <v>136</v>
      </c>
      <c r="I44" s="68" t="s">
        <v>251</v>
      </c>
      <c r="J44" s="32" t="s">
        <v>91</v>
      </c>
      <c r="K44" s="52" t="s">
        <v>91</v>
      </c>
    </row>
    <row r="45" spans="1:11">
      <c r="A45" s="33">
        <v>43</v>
      </c>
      <c r="B45" s="52" t="s">
        <v>219</v>
      </c>
      <c r="C45" s="52" t="s">
        <v>118</v>
      </c>
      <c r="D45" t="str">
        <f>"1802050"</f>
        <v>1802050</v>
      </c>
      <c r="E45" s="57" t="s">
        <v>22</v>
      </c>
      <c r="F45" s="16" t="s">
        <v>26</v>
      </c>
      <c r="G45" s="61" t="s">
        <v>129</v>
      </c>
      <c r="H45" s="16" t="s">
        <v>137</v>
      </c>
      <c r="I45" s="53">
        <v>1992</v>
      </c>
      <c r="J45" s="29" t="s">
        <v>139</v>
      </c>
      <c r="K45" s="52" t="s">
        <v>91</v>
      </c>
    </row>
    <row r="46" spans="1:11">
      <c r="A46" s="33">
        <v>44</v>
      </c>
      <c r="B46" s="52" t="s">
        <v>219</v>
      </c>
      <c r="C46" s="52" t="s">
        <v>119</v>
      </c>
      <c r="D46" t="str">
        <f>"1809000"</f>
        <v>1809000</v>
      </c>
      <c r="E46" s="57" t="s">
        <v>22</v>
      </c>
      <c r="F46" s="16" t="s">
        <v>26</v>
      </c>
      <c r="G46" s="61" t="s">
        <v>129</v>
      </c>
      <c r="H46" s="16" t="s">
        <v>141</v>
      </c>
      <c r="I46" s="53">
        <v>1985</v>
      </c>
      <c r="J46" s="29" t="s">
        <v>91</v>
      </c>
      <c r="K46" s="52" t="s">
        <v>91</v>
      </c>
    </row>
    <row r="47" spans="1:11">
      <c r="A47" s="33">
        <v>45</v>
      </c>
      <c r="B47" s="52" t="s">
        <v>219</v>
      </c>
      <c r="C47" s="52" t="s">
        <v>112</v>
      </c>
      <c r="D47" t="str">
        <f>"1806010"</f>
        <v>1806010</v>
      </c>
      <c r="E47" s="57" t="s">
        <v>22</v>
      </c>
      <c r="F47" s="16" t="s">
        <v>26</v>
      </c>
      <c r="G47" s="61" t="s">
        <v>131</v>
      </c>
      <c r="H47" s="16" t="s">
        <v>132</v>
      </c>
      <c r="I47" s="53">
        <v>2000</v>
      </c>
      <c r="J47" s="29" t="s">
        <v>139</v>
      </c>
      <c r="K47" s="52" t="s">
        <v>91</v>
      </c>
    </row>
    <row r="48" spans="1:11">
      <c r="A48" s="33">
        <v>46</v>
      </c>
      <c r="B48" s="52" t="s">
        <v>219</v>
      </c>
      <c r="C48" s="31" t="s">
        <v>115</v>
      </c>
      <c r="D48" t="str">
        <f>"1805010"</f>
        <v>1805010</v>
      </c>
      <c r="E48" s="57" t="s">
        <v>22</v>
      </c>
      <c r="F48" s="16" t="s">
        <v>26</v>
      </c>
      <c r="G48" s="61" t="s">
        <v>131</v>
      </c>
      <c r="H48" s="16" t="s">
        <v>134</v>
      </c>
      <c r="I48" s="82">
        <v>1988</v>
      </c>
      <c r="J48" s="83" t="s">
        <v>139</v>
      </c>
      <c r="K48" s="31" t="s">
        <v>91</v>
      </c>
    </row>
    <row r="49" spans="1:11">
      <c r="A49" s="33">
        <v>47</v>
      </c>
      <c r="B49" s="52" t="s">
        <v>219</v>
      </c>
      <c r="C49" s="52" t="s">
        <v>116</v>
      </c>
      <c r="D49" t="str">
        <f>"1802010"</f>
        <v>1802010</v>
      </c>
      <c r="E49" s="57" t="s">
        <v>22</v>
      </c>
      <c r="F49" s="16" t="s">
        <v>26</v>
      </c>
      <c r="G49" s="61" t="s">
        <v>131</v>
      </c>
      <c r="H49" s="16" t="s">
        <v>135</v>
      </c>
      <c r="I49" s="53">
        <v>1975</v>
      </c>
      <c r="J49" s="29" t="s">
        <v>91</v>
      </c>
      <c r="K49" s="52" t="s">
        <v>91</v>
      </c>
    </row>
    <row r="50" spans="1:11" ht="45">
      <c r="A50" s="33">
        <v>48</v>
      </c>
      <c r="B50" s="52" t="s">
        <v>219</v>
      </c>
      <c r="C50" s="52" t="s">
        <v>107</v>
      </c>
      <c r="D50" t="str">
        <f>"1803010"</f>
        <v>1803010</v>
      </c>
      <c r="E50" s="57" t="s">
        <v>22</v>
      </c>
      <c r="F50" s="16" t="s">
        <v>26</v>
      </c>
      <c r="G50" s="61" t="s">
        <v>130</v>
      </c>
      <c r="H50" s="16" t="s">
        <v>130</v>
      </c>
      <c r="I50" s="68" t="s">
        <v>255</v>
      </c>
      <c r="J50" s="29" t="s">
        <v>91</v>
      </c>
      <c r="K50" s="52" t="s">
        <v>91</v>
      </c>
    </row>
    <row r="51" spans="1:11">
      <c r="A51" s="33">
        <v>49</v>
      </c>
      <c r="B51" s="52" t="s">
        <v>219</v>
      </c>
      <c r="C51" s="52" t="s">
        <v>120</v>
      </c>
      <c r="D51" t="str">
        <f>"1841001"</f>
        <v>1841001</v>
      </c>
      <c r="E51" s="57" t="s">
        <v>85</v>
      </c>
      <c r="F51" s="16" t="s">
        <v>26</v>
      </c>
      <c r="G51" s="61" t="s">
        <v>131</v>
      </c>
      <c r="H51" s="16" t="s">
        <v>135</v>
      </c>
      <c r="I51" s="53">
        <v>1954</v>
      </c>
      <c r="J51" s="29" t="s">
        <v>91</v>
      </c>
      <c r="K51" s="52" t="s">
        <v>91</v>
      </c>
    </row>
    <row r="52" spans="1:11">
      <c r="A52" s="33">
        <v>50</v>
      </c>
      <c r="B52" s="52" t="s">
        <v>219</v>
      </c>
      <c r="C52" s="52" t="s">
        <v>252</v>
      </c>
      <c r="D52" t="str">
        <f>"1848000"</f>
        <v>1848000</v>
      </c>
      <c r="E52" s="57" t="s">
        <v>86</v>
      </c>
      <c r="F52" s="16" t="s">
        <v>26</v>
      </c>
      <c r="G52" s="61" t="s">
        <v>129</v>
      </c>
      <c r="H52" s="16" t="s">
        <v>129</v>
      </c>
      <c r="I52" s="53">
        <v>1985</v>
      </c>
      <c r="J52" s="29" t="s">
        <v>139</v>
      </c>
      <c r="K52" s="52" t="s">
        <v>91</v>
      </c>
    </row>
    <row r="53" spans="1:11">
      <c r="A53" s="33">
        <v>51</v>
      </c>
      <c r="B53" s="52" t="s">
        <v>219</v>
      </c>
      <c r="C53" s="52" t="s">
        <v>121</v>
      </c>
      <c r="D53" t="str">
        <f>"1840035"</f>
        <v>1840035</v>
      </c>
      <c r="E53" s="57" t="s">
        <v>86</v>
      </c>
      <c r="F53" s="16" t="s">
        <v>26</v>
      </c>
      <c r="G53" s="61" t="s">
        <v>131</v>
      </c>
      <c r="H53" s="16" t="s">
        <v>135</v>
      </c>
      <c r="I53" s="53">
        <v>1998</v>
      </c>
      <c r="J53" s="29" t="s">
        <v>139</v>
      </c>
      <c r="K53" s="52" t="s">
        <v>91</v>
      </c>
    </row>
    <row r="54" spans="1:11">
      <c r="A54" s="33">
        <v>52</v>
      </c>
      <c r="B54" s="52" t="s">
        <v>219</v>
      </c>
      <c r="C54" s="52" t="s">
        <v>122</v>
      </c>
      <c r="D54" t="str">
        <f>"1840040"</f>
        <v>1840040</v>
      </c>
      <c r="E54" s="57" t="s">
        <v>86</v>
      </c>
      <c r="F54" s="16" t="s">
        <v>26</v>
      </c>
      <c r="G54" s="61" t="s">
        <v>130</v>
      </c>
      <c r="H54" s="16" t="s">
        <v>130</v>
      </c>
      <c r="I54" s="53">
        <v>1970</v>
      </c>
      <c r="J54" s="29" t="s">
        <v>139</v>
      </c>
      <c r="K54" s="52" t="s">
        <v>139</v>
      </c>
    </row>
    <row r="55" spans="1:11">
      <c r="A55" s="33">
        <v>53</v>
      </c>
      <c r="B55" s="52" t="s">
        <v>219</v>
      </c>
      <c r="C55" s="52" t="s">
        <v>123</v>
      </c>
      <c r="D55" t="str">
        <f>"1851010"</f>
        <v>1851010</v>
      </c>
      <c r="E55" s="57" t="s">
        <v>23</v>
      </c>
      <c r="F55" s="16" t="s">
        <v>26</v>
      </c>
      <c r="G55" s="61" t="s">
        <v>129</v>
      </c>
      <c r="H55" s="16" t="s">
        <v>129</v>
      </c>
      <c r="I55" s="53">
        <v>1970</v>
      </c>
      <c r="J55" s="29" t="s">
        <v>91</v>
      </c>
      <c r="K55" s="52" t="s">
        <v>91</v>
      </c>
    </row>
    <row r="56" spans="1:11">
      <c r="A56" s="33">
        <v>54</v>
      </c>
      <c r="B56" s="52" t="s">
        <v>219</v>
      </c>
      <c r="C56" s="52" t="s">
        <v>125</v>
      </c>
      <c r="D56" t="str">
        <f>"1851009"</f>
        <v>1851009</v>
      </c>
      <c r="E56" s="57" t="s">
        <v>23</v>
      </c>
      <c r="F56" s="16" t="s">
        <v>26</v>
      </c>
      <c r="G56" s="61" t="s">
        <v>129</v>
      </c>
      <c r="H56" s="16" t="s">
        <v>129</v>
      </c>
      <c r="I56" s="53">
        <v>2009</v>
      </c>
      <c r="J56" s="29" t="s">
        <v>139</v>
      </c>
      <c r="K56" s="52" t="s">
        <v>91</v>
      </c>
    </row>
    <row r="57" spans="1:11">
      <c r="A57" s="33">
        <v>55</v>
      </c>
      <c r="B57" s="52" t="s">
        <v>219</v>
      </c>
      <c r="C57" s="52" t="s">
        <v>126</v>
      </c>
      <c r="D57" t="str">
        <f>"1851015"</f>
        <v>1851015</v>
      </c>
      <c r="E57" s="57" t="s">
        <v>23</v>
      </c>
      <c r="F57" s="16" t="s">
        <v>26</v>
      </c>
      <c r="G57" s="61" t="s">
        <v>129</v>
      </c>
      <c r="H57" s="16" t="s">
        <v>129</v>
      </c>
      <c r="I57" s="53">
        <v>1973</v>
      </c>
      <c r="J57" s="29" t="s">
        <v>91</v>
      </c>
      <c r="K57" s="52" t="s">
        <v>91</v>
      </c>
    </row>
    <row r="58" spans="1:11" ht="45">
      <c r="A58" s="33">
        <v>56</v>
      </c>
      <c r="B58" s="52" t="s">
        <v>219</v>
      </c>
      <c r="C58" s="52" t="s">
        <v>127</v>
      </c>
      <c r="D58" t="str">
        <f>"1854010"</f>
        <v>1854010</v>
      </c>
      <c r="E58" s="57" t="s">
        <v>23</v>
      </c>
      <c r="F58" s="16" t="s">
        <v>26</v>
      </c>
      <c r="G58" s="61" t="s">
        <v>129</v>
      </c>
      <c r="H58" s="16" t="s">
        <v>133</v>
      </c>
      <c r="I58" s="68" t="s">
        <v>253</v>
      </c>
      <c r="J58" s="29" t="s">
        <v>91</v>
      </c>
      <c r="K58" s="52" t="s">
        <v>91</v>
      </c>
    </row>
    <row r="59" spans="1:11">
      <c r="A59" s="33">
        <v>57</v>
      </c>
      <c r="B59" s="52" t="s">
        <v>219</v>
      </c>
      <c r="C59" s="52" t="s">
        <v>124</v>
      </c>
      <c r="D59" t="str">
        <f>"1852010"</f>
        <v>1852010</v>
      </c>
      <c r="E59" s="57" t="s">
        <v>23</v>
      </c>
      <c r="F59" s="16" t="s">
        <v>26</v>
      </c>
      <c r="G59" s="61" t="s">
        <v>131</v>
      </c>
      <c r="H59" s="16" t="s">
        <v>135</v>
      </c>
      <c r="I59" s="53">
        <v>1976</v>
      </c>
      <c r="J59" s="29" t="s">
        <v>139</v>
      </c>
      <c r="K59" s="52" t="s">
        <v>91</v>
      </c>
    </row>
    <row r="60" spans="1:11" ht="45">
      <c r="A60" s="33">
        <v>58</v>
      </c>
      <c r="B60" s="52" t="s">
        <v>219</v>
      </c>
      <c r="C60" s="52" t="s">
        <v>128</v>
      </c>
      <c r="D60" t="str">
        <f>"1853010"</f>
        <v>1853010</v>
      </c>
      <c r="E60" s="57" t="s">
        <v>23</v>
      </c>
      <c r="F60" s="16" t="s">
        <v>26</v>
      </c>
      <c r="G60" s="61" t="s">
        <v>130</v>
      </c>
      <c r="H60" s="16" t="s">
        <v>130</v>
      </c>
      <c r="I60" s="68" t="s">
        <v>254</v>
      </c>
      <c r="J60" s="29" t="s">
        <v>91</v>
      </c>
      <c r="K60" s="52" t="s">
        <v>91</v>
      </c>
    </row>
    <row r="61" spans="1:11" ht="45">
      <c r="A61" s="33">
        <v>59</v>
      </c>
      <c r="B61" s="16" t="s">
        <v>220</v>
      </c>
      <c r="C61" s="54" t="s">
        <v>146</v>
      </c>
      <c r="D61" t="str">
        <f>"2007010"</f>
        <v>2007010</v>
      </c>
      <c r="E61" s="16" t="s">
        <v>22</v>
      </c>
      <c r="F61" s="16" t="s">
        <v>27</v>
      </c>
      <c r="G61" s="63" t="s">
        <v>226</v>
      </c>
      <c r="H61" s="16" t="s">
        <v>232</v>
      </c>
      <c r="I61" s="62">
        <v>1980</v>
      </c>
      <c r="J61" s="62">
        <v>1980</v>
      </c>
      <c r="K61" s="52" t="s">
        <v>91</v>
      </c>
    </row>
    <row r="62" spans="1:11" ht="30">
      <c r="A62" s="33">
        <v>60</v>
      </c>
      <c r="B62" s="16" t="s">
        <v>220</v>
      </c>
      <c r="C62" s="54" t="s">
        <v>163</v>
      </c>
      <c r="D62" t="str">
        <f>"2016090"</f>
        <v>2016090</v>
      </c>
      <c r="E62" s="16" t="s">
        <v>22</v>
      </c>
      <c r="F62" s="16" t="s">
        <v>27</v>
      </c>
      <c r="G62" s="63" t="s">
        <v>228</v>
      </c>
      <c r="H62" s="16" t="s">
        <v>245</v>
      </c>
      <c r="I62" s="65" t="s">
        <v>210</v>
      </c>
      <c r="J62" s="65" t="s">
        <v>210</v>
      </c>
      <c r="K62" s="52" t="s">
        <v>91</v>
      </c>
    </row>
    <row r="63" spans="1:11">
      <c r="A63" s="33">
        <v>61</v>
      </c>
      <c r="B63" s="16" t="s">
        <v>220</v>
      </c>
      <c r="C63" s="54" t="s">
        <v>165</v>
      </c>
      <c r="D63" t="str">
        <f>"2014010"</f>
        <v>2014010</v>
      </c>
      <c r="E63" s="16" t="s">
        <v>22</v>
      </c>
      <c r="F63" s="16" t="s">
        <v>27</v>
      </c>
      <c r="G63" s="63" t="s">
        <v>228</v>
      </c>
      <c r="H63" s="16" t="s">
        <v>236</v>
      </c>
      <c r="I63" s="66">
        <v>1993</v>
      </c>
      <c r="J63" s="66">
        <v>1993</v>
      </c>
      <c r="K63" s="52" t="s">
        <v>91</v>
      </c>
    </row>
    <row r="64" spans="1:11">
      <c r="A64" s="33">
        <v>62</v>
      </c>
      <c r="B64" s="16" t="s">
        <v>220</v>
      </c>
      <c r="C64" s="54" t="s">
        <v>166</v>
      </c>
      <c r="D64" t="str">
        <f>"2006010"</f>
        <v>2006010</v>
      </c>
      <c r="E64" s="16" t="s">
        <v>22</v>
      </c>
      <c r="F64" s="16" t="s">
        <v>27</v>
      </c>
      <c r="G64" s="63" t="s">
        <v>228</v>
      </c>
      <c r="H64" s="16" t="s">
        <v>228</v>
      </c>
      <c r="I64" s="62">
        <v>1977</v>
      </c>
      <c r="J64" s="62">
        <v>1977</v>
      </c>
      <c r="K64" s="52" t="s">
        <v>91</v>
      </c>
    </row>
    <row r="65" spans="1:11" ht="30">
      <c r="A65" s="33">
        <v>63</v>
      </c>
      <c r="B65" s="16" t="s">
        <v>220</v>
      </c>
      <c r="C65" s="54" t="s">
        <v>142</v>
      </c>
      <c r="D65" t="str">
        <f>"2001077"</f>
        <v>2001077</v>
      </c>
      <c r="E65" s="16" t="s">
        <v>22</v>
      </c>
      <c r="F65" s="16" t="s">
        <v>27</v>
      </c>
      <c r="G65" s="59" t="s">
        <v>224</v>
      </c>
      <c r="H65" s="16" t="s">
        <v>230</v>
      </c>
      <c r="I65" s="62">
        <v>1979</v>
      </c>
      <c r="J65" s="62">
        <v>1979</v>
      </c>
      <c r="K65" s="52" t="s">
        <v>91</v>
      </c>
    </row>
    <row r="66" spans="1:11">
      <c r="A66" s="33">
        <v>64</v>
      </c>
      <c r="B66" s="16" t="s">
        <v>220</v>
      </c>
      <c r="C66" s="54" t="s">
        <v>143</v>
      </c>
      <c r="D66" t="str">
        <f>"2001078"</f>
        <v>2001078</v>
      </c>
      <c r="E66" s="16" t="s">
        <v>22</v>
      </c>
      <c r="F66" s="16" t="s">
        <v>27</v>
      </c>
      <c r="G66" s="59" t="s">
        <v>224</v>
      </c>
      <c r="H66" s="16" t="s">
        <v>230</v>
      </c>
      <c r="I66" s="62">
        <v>2005</v>
      </c>
      <c r="J66" s="62">
        <v>2005</v>
      </c>
      <c r="K66" s="52" t="s">
        <v>91</v>
      </c>
    </row>
    <row r="67" spans="1:11">
      <c r="A67" s="33">
        <v>65</v>
      </c>
      <c r="B67" s="16" t="s">
        <v>220</v>
      </c>
      <c r="C67" s="54" t="s">
        <v>144</v>
      </c>
      <c r="D67" t="str">
        <f>"2001010"</f>
        <v>2001010</v>
      </c>
      <c r="E67" s="16" t="s">
        <v>22</v>
      </c>
      <c r="F67" s="16" t="s">
        <v>27</v>
      </c>
      <c r="G67" s="59" t="s">
        <v>224</v>
      </c>
      <c r="H67" s="16" t="s">
        <v>230</v>
      </c>
      <c r="I67" s="62">
        <v>1905</v>
      </c>
      <c r="J67" s="62">
        <v>1905</v>
      </c>
      <c r="K67" s="52" t="s">
        <v>91</v>
      </c>
    </row>
    <row r="68" spans="1:11" ht="30">
      <c r="A68" s="33">
        <v>66</v>
      </c>
      <c r="B68" s="16" t="s">
        <v>220</v>
      </c>
      <c r="C68" s="54" t="s">
        <v>147</v>
      </c>
      <c r="D68" t="str">
        <f>"2001020"</f>
        <v>2001020</v>
      </c>
      <c r="E68" s="16" t="s">
        <v>22</v>
      </c>
      <c r="F68" s="16" t="s">
        <v>27</v>
      </c>
      <c r="G68" s="59" t="s">
        <v>224</v>
      </c>
      <c r="H68" s="16" t="s">
        <v>230</v>
      </c>
      <c r="I68" s="62">
        <v>1992</v>
      </c>
      <c r="J68" s="62">
        <v>1992</v>
      </c>
      <c r="K68" s="52" t="s">
        <v>91</v>
      </c>
    </row>
    <row r="69" spans="1:11">
      <c r="A69" s="33">
        <v>67</v>
      </c>
      <c r="B69" s="16" t="s">
        <v>220</v>
      </c>
      <c r="C69" s="55" t="s">
        <v>148</v>
      </c>
      <c r="D69" t="str">
        <f>"2001065"</f>
        <v>2001065</v>
      </c>
      <c r="E69" s="16" t="s">
        <v>22</v>
      </c>
      <c r="F69" s="16" t="s">
        <v>27</v>
      </c>
      <c r="G69" s="63" t="s">
        <v>224</v>
      </c>
      <c r="H69" s="16"/>
      <c r="I69" s="62">
        <v>2010</v>
      </c>
      <c r="J69" s="62">
        <v>2010</v>
      </c>
      <c r="K69" s="52" t="s">
        <v>91</v>
      </c>
    </row>
    <row r="70" spans="1:11">
      <c r="A70" s="33">
        <v>68</v>
      </c>
      <c r="B70" s="16" t="s">
        <v>220</v>
      </c>
      <c r="C70" s="54" t="s">
        <v>149</v>
      </c>
      <c r="D70" t="str">
        <f>"2001021"</f>
        <v>2001021</v>
      </c>
      <c r="E70" s="16" t="s">
        <v>22</v>
      </c>
      <c r="F70" s="16" t="s">
        <v>27</v>
      </c>
      <c r="G70" s="59" t="s">
        <v>224</v>
      </c>
      <c r="H70" s="16" t="s">
        <v>230</v>
      </c>
      <c r="I70" s="62">
        <v>1979</v>
      </c>
      <c r="J70" s="62">
        <v>1979</v>
      </c>
      <c r="K70" s="52" t="s">
        <v>91</v>
      </c>
    </row>
    <row r="71" spans="1:11" ht="60">
      <c r="A71" s="33">
        <v>69</v>
      </c>
      <c r="B71" s="16" t="s">
        <v>220</v>
      </c>
      <c r="C71" s="56" t="s">
        <v>150</v>
      </c>
      <c r="D71" t="str">
        <f>"2001040"</f>
        <v>2001040</v>
      </c>
      <c r="E71" s="16" t="s">
        <v>22</v>
      </c>
      <c r="F71" s="16" t="s">
        <v>27</v>
      </c>
      <c r="G71" s="59" t="s">
        <v>224</v>
      </c>
      <c r="H71" s="16" t="s">
        <v>230</v>
      </c>
      <c r="I71" s="62" t="s">
        <v>205</v>
      </c>
      <c r="J71" s="62" t="s">
        <v>205</v>
      </c>
      <c r="K71" s="52" t="s">
        <v>91</v>
      </c>
    </row>
    <row r="72" spans="1:11">
      <c r="A72" s="33">
        <v>70</v>
      </c>
      <c r="B72" s="16" t="s">
        <v>220</v>
      </c>
      <c r="C72" s="54" t="s">
        <v>151</v>
      </c>
      <c r="D72" t="str">
        <f>"2001070"</f>
        <v>2001070</v>
      </c>
      <c r="E72" s="16" t="s">
        <v>22</v>
      </c>
      <c r="F72" s="16" t="s">
        <v>27</v>
      </c>
      <c r="G72" s="59" t="s">
        <v>224</v>
      </c>
      <c r="H72" s="16" t="s">
        <v>230</v>
      </c>
      <c r="I72" s="60">
        <v>2009</v>
      </c>
      <c r="J72" s="60">
        <v>2009</v>
      </c>
      <c r="K72" s="52" t="s">
        <v>91</v>
      </c>
    </row>
    <row r="73" spans="1:11">
      <c r="A73" s="33">
        <v>71</v>
      </c>
      <c r="B73" s="16" t="s">
        <v>220</v>
      </c>
      <c r="C73" s="54" t="s">
        <v>152</v>
      </c>
      <c r="D73" t="str">
        <f>"2001071"</f>
        <v>2001071</v>
      </c>
      <c r="E73" s="16" t="s">
        <v>22</v>
      </c>
      <c r="F73" s="16" t="s">
        <v>27</v>
      </c>
      <c r="G73" s="59" t="s">
        <v>224</v>
      </c>
      <c r="H73" s="16" t="s">
        <v>230</v>
      </c>
      <c r="I73" s="62" t="s">
        <v>206</v>
      </c>
      <c r="J73" s="62" t="s">
        <v>206</v>
      </c>
      <c r="K73" s="52" t="s">
        <v>91</v>
      </c>
    </row>
    <row r="74" spans="1:11">
      <c r="A74" s="33">
        <v>72</v>
      </c>
      <c r="B74" s="16" t="s">
        <v>220</v>
      </c>
      <c r="C74" s="54" t="s">
        <v>153</v>
      </c>
      <c r="D74" t="str">
        <f>"2001072"</f>
        <v>2001072</v>
      </c>
      <c r="E74" s="16" t="s">
        <v>22</v>
      </c>
      <c r="F74" s="16" t="s">
        <v>27</v>
      </c>
      <c r="G74" s="59" t="s">
        <v>224</v>
      </c>
      <c r="H74" s="16" t="s">
        <v>230</v>
      </c>
      <c r="I74" s="62">
        <v>1983</v>
      </c>
      <c r="J74" s="62">
        <v>1983</v>
      </c>
      <c r="K74" s="52" t="s">
        <v>91</v>
      </c>
    </row>
    <row r="75" spans="1:11">
      <c r="A75" s="33">
        <v>73</v>
      </c>
      <c r="B75" s="16" t="s">
        <v>220</v>
      </c>
      <c r="C75" s="54" t="s">
        <v>154</v>
      </c>
      <c r="D75" t="str">
        <f>"2001073"</f>
        <v>2001073</v>
      </c>
      <c r="E75" s="16" t="s">
        <v>22</v>
      </c>
      <c r="F75" s="16" t="s">
        <v>27</v>
      </c>
      <c r="G75" s="59" t="s">
        <v>224</v>
      </c>
      <c r="H75" s="16" t="s">
        <v>230</v>
      </c>
      <c r="I75" s="64">
        <v>31198</v>
      </c>
      <c r="J75" s="64">
        <v>31198</v>
      </c>
      <c r="K75" s="52" t="s">
        <v>91</v>
      </c>
    </row>
    <row r="76" spans="1:11">
      <c r="A76" s="33">
        <v>74</v>
      </c>
      <c r="B76" s="16" t="s">
        <v>220</v>
      </c>
      <c r="C76" s="54" t="s">
        <v>155</v>
      </c>
      <c r="D76" t="str">
        <f>"2001075"</f>
        <v>2001075</v>
      </c>
      <c r="E76" s="16" t="s">
        <v>22</v>
      </c>
      <c r="F76" s="16" t="s">
        <v>27</v>
      </c>
      <c r="G76" s="59" t="s">
        <v>224</v>
      </c>
      <c r="H76" s="16" t="s">
        <v>230</v>
      </c>
      <c r="I76" s="65">
        <v>1950</v>
      </c>
      <c r="J76" s="65">
        <v>1950</v>
      </c>
      <c r="K76" s="52" t="s">
        <v>91</v>
      </c>
    </row>
    <row r="77" spans="1:11">
      <c r="A77" s="33">
        <v>75</v>
      </c>
      <c r="B77" s="16" t="s">
        <v>220</v>
      </c>
      <c r="C77" s="54" t="s">
        <v>156</v>
      </c>
      <c r="D77" t="str">
        <f>"2003010"</f>
        <v>2003010</v>
      </c>
      <c r="E77" s="16" t="s">
        <v>22</v>
      </c>
      <c r="F77" s="16" t="s">
        <v>27</v>
      </c>
      <c r="G77" s="59" t="s">
        <v>224</v>
      </c>
      <c r="H77" s="16" t="s">
        <v>230</v>
      </c>
      <c r="I77" s="62">
        <v>1964</v>
      </c>
      <c r="J77" s="62">
        <v>1964</v>
      </c>
      <c r="K77" s="52" t="s">
        <v>91</v>
      </c>
    </row>
    <row r="78" spans="1:11">
      <c r="A78" s="33">
        <v>76</v>
      </c>
      <c r="B78" s="16" t="s">
        <v>220</v>
      </c>
      <c r="C78" s="54" t="s">
        <v>157</v>
      </c>
      <c r="D78" t="str">
        <f>"2015010"</f>
        <v>2015010</v>
      </c>
      <c r="E78" s="16" t="s">
        <v>22</v>
      </c>
      <c r="F78" s="16" t="s">
        <v>27</v>
      </c>
      <c r="G78" s="59" t="s">
        <v>224</v>
      </c>
      <c r="H78" s="16" t="s">
        <v>230</v>
      </c>
      <c r="I78" s="62">
        <v>1985</v>
      </c>
      <c r="J78" s="62">
        <v>1985</v>
      </c>
      <c r="K78" s="52" t="s">
        <v>91</v>
      </c>
    </row>
    <row r="79" spans="1:11" ht="30">
      <c r="A79" s="33">
        <v>77</v>
      </c>
      <c r="B79" s="16" t="s">
        <v>220</v>
      </c>
      <c r="C79" s="54" t="s">
        <v>158</v>
      </c>
      <c r="D79" t="str">
        <f>"2050960"</f>
        <v>2050960</v>
      </c>
      <c r="E79" s="16" t="s">
        <v>22</v>
      </c>
      <c r="F79" s="16" t="s">
        <v>27</v>
      </c>
      <c r="G79" s="59" t="s">
        <v>224</v>
      </c>
      <c r="H79" s="16" t="s">
        <v>230</v>
      </c>
      <c r="I79" s="62" t="s">
        <v>207</v>
      </c>
      <c r="J79" s="62" t="s">
        <v>207</v>
      </c>
      <c r="K79" s="52" t="s">
        <v>91</v>
      </c>
    </row>
    <row r="80" spans="1:11" ht="30">
      <c r="A80" s="33">
        <v>78</v>
      </c>
      <c r="B80" s="16" t="s">
        <v>220</v>
      </c>
      <c r="C80" s="54" t="s">
        <v>159</v>
      </c>
      <c r="D80" t="str">
        <f>"2001050"</f>
        <v>2001050</v>
      </c>
      <c r="E80" s="16" t="s">
        <v>22</v>
      </c>
      <c r="F80" s="16" t="s">
        <v>27</v>
      </c>
      <c r="G80" s="59" t="s">
        <v>224</v>
      </c>
      <c r="H80" s="16" t="s">
        <v>230</v>
      </c>
      <c r="I80" s="65" t="s">
        <v>208</v>
      </c>
      <c r="J80" s="65" t="s">
        <v>208</v>
      </c>
      <c r="K80" s="52" t="s">
        <v>91</v>
      </c>
    </row>
    <row r="81" spans="1:11">
      <c r="A81" s="33">
        <v>79</v>
      </c>
      <c r="B81" s="16" t="s">
        <v>220</v>
      </c>
      <c r="C81" s="54" t="s">
        <v>161</v>
      </c>
      <c r="D81" t="str">
        <f>"2001060"</f>
        <v>2001060</v>
      </c>
      <c r="E81" s="16" t="s">
        <v>22</v>
      </c>
      <c r="F81" s="16" t="s">
        <v>27</v>
      </c>
      <c r="G81" s="59" t="s">
        <v>224</v>
      </c>
      <c r="H81" s="16" t="s">
        <v>222</v>
      </c>
      <c r="I81" s="64">
        <v>32322</v>
      </c>
      <c r="J81" s="64">
        <v>32322</v>
      </c>
      <c r="K81" s="52" t="s">
        <v>91</v>
      </c>
    </row>
    <row r="82" spans="1:11">
      <c r="A82" s="33">
        <v>80</v>
      </c>
      <c r="B82" s="16" t="s">
        <v>220</v>
      </c>
      <c r="C82" s="54" t="s">
        <v>162</v>
      </c>
      <c r="D82" t="str">
        <f>"2001081"</f>
        <v>2001081</v>
      </c>
      <c r="E82" s="16" t="s">
        <v>22</v>
      </c>
      <c r="F82" s="16" t="s">
        <v>27</v>
      </c>
      <c r="G82" s="59" t="s">
        <v>224</v>
      </c>
      <c r="H82" s="16" t="s">
        <v>230</v>
      </c>
      <c r="I82" s="62" t="s">
        <v>209</v>
      </c>
      <c r="J82" s="62" t="s">
        <v>209</v>
      </c>
      <c r="K82" s="52" t="s">
        <v>91</v>
      </c>
    </row>
    <row r="83" spans="1:11">
      <c r="A83" s="33">
        <v>81</v>
      </c>
      <c r="B83" s="16" t="s">
        <v>220</v>
      </c>
      <c r="C83" s="54" t="s">
        <v>167</v>
      </c>
      <c r="D83" t="str">
        <f>"2012010"</f>
        <v>2012010</v>
      </c>
      <c r="E83" s="16" t="s">
        <v>22</v>
      </c>
      <c r="F83" s="16" t="s">
        <v>27</v>
      </c>
      <c r="G83" s="59" t="s">
        <v>224</v>
      </c>
      <c r="H83" s="16" t="s">
        <v>240</v>
      </c>
      <c r="I83" s="65">
        <v>2002</v>
      </c>
      <c r="J83" s="65">
        <v>2002</v>
      </c>
      <c r="K83" s="52" t="s">
        <v>91</v>
      </c>
    </row>
    <row r="84" spans="1:11">
      <c r="A84" s="33">
        <v>82</v>
      </c>
      <c r="B84" s="16" t="s">
        <v>220</v>
      </c>
      <c r="C84" s="54" t="s">
        <v>169</v>
      </c>
      <c r="D84" t="str">
        <f>"2012070"</f>
        <v>2012070</v>
      </c>
      <c r="E84" s="16" t="s">
        <v>22</v>
      </c>
      <c r="F84" s="16" t="s">
        <v>27</v>
      </c>
      <c r="G84" s="59" t="s">
        <v>224</v>
      </c>
      <c r="H84" s="16" t="s">
        <v>237</v>
      </c>
      <c r="I84" s="62">
        <v>1988</v>
      </c>
      <c r="J84" s="62">
        <v>1988</v>
      </c>
      <c r="K84" s="52" t="s">
        <v>91</v>
      </c>
    </row>
    <row r="85" spans="1:11">
      <c r="A85" s="33">
        <v>83</v>
      </c>
      <c r="B85" s="16" t="s">
        <v>220</v>
      </c>
      <c r="C85" s="54" t="s">
        <v>170</v>
      </c>
      <c r="D85" t="str">
        <f>"2018010"</f>
        <v>2018010</v>
      </c>
      <c r="E85" s="16" t="s">
        <v>22</v>
      </c>
      <c r="F85" s="16" t="s">
        <v>27</v>
      </c>
      <c r="G85" s="59" t="s">
        <v>224</v>
      </c>
      <c r="H85" s="16" t="s">
        <v>238</v>
      </c>
      <c r="I85" s="62">
        <v>1990</v>
      </c>
      <c r="J85" s="62">
        <v>1990</v>
      </c>
      <c r="K85" s="52" t="s">
        <v>91</v>
      </c>
    </row>
    <row r="86" spans="1:11">
      <c r="A86" s="33">
        <v>84</v>
      </c>
      <c r="B86" s="16" t="s">
        <v>220</v>
      </c>
      <c r="C86" s="54" t="s">
        <v>171</v>
      </c>
      <c r="D86" t="str">
        <f>"2015090"</f>
        <v>2015090</v>
      </c>
      <c r="E86" s="16" t="s">
        <v>22</v>
      </c>
      <c r="F86" s="16" t="s">
        <v>27</v>
      </c>
      <c r="G86" s="59" t="s">
        <v>224</v>
      </c>
      <c r="H86" s="16" t="s">
        <v>241</v>
      </c>
      <c r="I86" s="62">
        <v>1996</v>
      </c>
      <c r="J86" s="62">
        <v>1996</v>
      </c>
      <c r="K86" s="52" t="s">
        <v>91</v>
      </c>
    </row>
    <row r="87" spans="1:11">
      <c r="A87" s="33">
        <v>85</v>
      </c>
      <c r="B87" s="16" t="s">
        <v>220</v>
      </c>
      <c r="C87" s="54" t="s">
        <v>173</v>
      </c>
      <c r="D87" t="str">
        <f>"2012050"</f>
        <v>2012050</v>
      </c>
      <c r="E87" s="16" t="s">
        <v>22</v>
      </c>
      <c r="F87" s="16" t="s">
        <v>27</v>
      </c>
      <c r="G87" s="59" t="s">
        <v>224</v>
      </c>
      <c r="H87" s="16" t="s">
        <v>242</v>
      </c>
      <c r="I87" s="62" t="s">
        <v>211</v>
      </c>
      <c r="J87" s="62" t="s">
        <v>211</v>
      </c>
      <c r="K87" s="52" t="s">
        <v>91</v>
      </c>
    </row>
    <row r="88" spans="1:11">
      <c r="A88" s="33">
        <v>86</v>
      </c>
      <c r="B88" s="16" t="s">
        <v>220</v>
      </c>
      <c r="C88" s="54" t="s">
        <v>174</v>
      </c>
      <c r="D88" t="str">
        <f>"2001061"</f>
        <v>2001061</v>
      </c>
      <c r="E88" s="16" t="s">
        <v>22</v>
      </c>
      <c r="F88" s="16" t="s">
        <v>27</v>
      </c>
      <c r="G88" s="59" t="s">
        <v>224</v>
      </c>
      <c r="H88" s="16" t="s">
        <v>239</v>
      </c>
      <c r="I88" s="62">
        <v>1991</v>
      </c>
      <c r="J88" s="62">
        <v>1991</v>
      </c>
      <c r="K88" s="52" t="s">
        <v>91</v>
      </c>
    </row>
    <row r="89" spans="1:11" ht="30">
      <c r="A89" s="33">
        <v>87</v>
      </c>
      <c r="B89" s="16" t="s">
        <v>220</v>
      </c>
      <c r="C89" s="54" t="s">
        <v>176</v>
      </c>
      <c r="D89" t="str">
        <f>"2001079"</f>
        <v>2001079</v>
      </c>
      <c r="E89" s="16" t="s">
        <v>22</v>
      </c>
      <c r="F89" s="16" t="s">
        <v>27</v>
      </c>
      <c r="G89" s="59" t="s">
        <v>224</v>
      </c>
      <c r="H89" s="16" t="s">
        <v>244</v>
      </c>
      <c r="I89" s="62" t="s">
        <v>212</v>
      </c>
      <c r="J89" s="62" t="s">
        <v>212</v>
      </c>
      <c r="K89" s="52" t="s">
        <v>91</v>
      </c>
    </row>
    <row r="90" spans="1:11">
      <c r="A90" s="33">
        <v>88</v>
      </c>
      <c r="B90" s="16" t="s">
        <v>220</v>
      </c>
      <c r="C90" s="54" t="s">
        <v>178</v>
      </c>
      <c r="D90" t="str">
        <f>"2001030"</f>
        <v>2001030</v>
      </c>
      <c r="E90" s="16" t="s">
        <v>22</v>
      </c>
      <c r="F90" s="16" t="s">
        <v>27</v>
      </c>
      <c r="G90" s="59" t="s">
        <v>224</v>
      </c>
      <c r="H90" s="16" t="s">
        <v>230</v>
      </c>
      <c r="I90" s="65">
        <v>1999</v>
      </c>
      <c r="J90" s="65">
        <v>1999</v>
      </c>
      <c r="K90" s="52" t="s">
        <v>91</v>
      </c>
    </row>
    <row r="91" spans="1:11">
      <c r="A91" s="33">
        <v>89</v>
      </c>
      <c r="B91" s="16" t="s">
        <v>220</v>
      </c>
      <c r="C91" s="54" t="s">
        <v>168</v>
      </c>
      <c r="D91" t="str">
        <f>"2004010"</f>
        <v>2004010</v>
      </c>
      <c r="E91" s="16" t="s">
        <v>22</v>
      </c>
      <c r="F91" s="16" t="s">
        <v>27</v>
      </c>
      <c r="G91" s="63" t="s">
        <v>229</v>
      </c>
      <c r="H91" s="16" t="s">
        <v>229</v>
      </c>
      <c r="I91" s="62">
        <v>1969</v>
      </c>
      <c r="J91" s="62">
        <v>1969</v>
      </c>
      <c r="K91" s="52" t="s">
        <v>91</v>
      </c>
    </row>
    <row r="92" spans="1:11">
      <c r="A92" s="33">
        <v>90</v>
      </c>
      <c r="B92" s="16" t="s">
        <v>220</v>
      </c>
      <c r="C92" s="54" t="s">
        <v>160</v>
      </c>
      <c r="D92" t="str">
        <f>"2017010"</f>
        <v>2017010</v>
      </c>
      <c r="E92" s="16" t="s">
        <v>22</v>
      </c>
      <c r="F92" s="16" t="s">
        <v>27</v>
      </c>
      <c r="G92" s="63" t="s">
        <v>227</v>
      </c>
      <c r="H92" s="16" t="s">
        <v>233</v>
      </c>
      <c r="I92" s="62">
        <v>2001</v>
      </c>
      <c r="J92" s="62">
        <v>2001</v>
      </c>
      <c r="K92" s="52" t="s">
        <v>91</v>
      </c>
    </row>
    <row r="93" spans="1:11">
      <c r="A93" s="33">
        <v>91</v>
      </c>
      <c r="B93" s="16" t="s">
        <v>220</v>
      </c>
      <c r="C93" s="54" t="s">
        <v>172</v>
      </c>
      <c r="D93" t="str">
        <f>"2005010"</f>
        <v>2005010</v>
      </c>
      <c r="E93" s="16" t="s">
        <v>22</v>
      </c>
      <c r="F93" s="16" t="s">
        <v>27</v>
      </c>
      <c r="G93" s="63" t="s">
        <v>227</v>
      </c>
      <c r="H93" s="16" t="s">
        <v>227</v>
      </c>
      <c r="I93" s="62">
        <v>1974</v>
      </c>
      <c r="J93" s="62">
        <v>1974</v>
      </c>
      <c r="K93" s="52" t="s">
        <v>91</v>
      </c>
    </row>
    <row r="94" spans="1:11" ht="30">
      <c r="A94" s="33">
        <v>92</v>
      </c>
      <c r="B94" s="16" t="s">
        <v>220</v>
      </c>
      <c r="C94" s="54" t="s">
        <v>145</v>
      </c>
      <c r="D94" t="str">
        <f>"2003020"</f>
        <v>2003020</v>
      </c>
      <c r="E94" s="16" t="s">
        <v>22</v>
      </c>
      <c r="F94" s="16" t="s">
        <v>27</v>
      </c>
      <c r="G94" s="59" t="s">
        <v>225</v>
      </c>
      <c r="H94" s="16" t="s">
        <v>231</v>
      </c>
      <c r="I94" s="62" t="s">
        <v>204</v>
      </c>
      <c r="J94" s="62" t="s">
        <v>204</v>
      </c>
      <c r="K94" s="52" t="s">
        <v>91</v>
      </c>
    </row>
    <row r="95" spans="1:11">
      <c r="A95" s="33">
        <v>93</v>
      </c>
      <c r="B95" s="16" t="s">
        <v>220</v>
      </c>
      <c r="C95" s="54" t="s">
        <v>164</v>
      </c>
      <c r="D95" t="str">
        <f>"2011010"</f>
        <v>2011010</v>
      </c>
      <c r="E95" s="16" t="s">
        <v>22</v>
      </c>
      <c r="F95" s="16" t="s">
        <v>27</v>
      </c>
      <c r="G95" s="63" t="s">
        <v>225</v>
      </c>
      <c r="H95" s="16" t="s">
        <v>235</v>
      </c>
      <c r="I95" s="62">
        <v>1975</v>
      </c>
      <c r="J95" s="62">
        <v>1975</v>
      </c>
      <c r="K95" s="52" t="s">
        <v>91</v>
      </c>
    </row>
    <row r="96" spans="1:11" ht="30">
      <c r="A96" s="33">
        <v>94</v>
      </c>
      <c r="B96" s="16" t="s">
        <v>220</v>
      </c>
      <c r="C96" s="54" t="s">
        <v>175</v>
      </c>
      <c r="D96" t="str">
        <f>"2009010"</f>
        <v>2009010</v>
      </c>
      <c r="E96" s="16" t="s">
        <v>22</v>
      </c>
      <c r="F96" s="16" t="s">
        <v>27</v>
      </c>
      <c r="G96" s="63" t="s">
        <v>225</v>
      </c>
      <c r="H96" s="16" t="s">
        <v>243</v>
      </c>
      <c r="I96" s="65" t="s">
        <v>210</v>
      </c>
      <c r="J96" s="65" t="s">
        <v>210</v>
      </c>
      <c r="K96" s="52" t="s">
        <v>91</v>
      </c>
    </row>
    <row r="97" spans="1:11">
      <c r="A97" s="33">
        <v>95</v>
      </c>
      <c r="B97" s="16" t="s">
        <v>220</v>
      </c>
      <c r="C97" s="54" t="s">
        <v>179</v>
      </c>
      <c r="D97" t="str">
        <f>"2041001"</f>
        <v>2041001</v>
      </c>
      <c r="E97" s="16" t="s">
        <v>85</v>
      </c>
      <c r="F97" s="16" t="s">
        <v>27</v>
      </c>
      <c r="G97" s="59" t="s">
        <v>224</v>
      </c>
      <c r="H97" s="16" t="s">
        <v>230</v>
      </c>
      <c r="I97" s="62">
        <v>2000</v>
      </c>
      <c r="J97" s="62">
        <v>2000</v>
      </c>
      <c r="K97" s="52" t="s">
        <v>91</v>
      </c>
    </row>
    <row r="98" spans="1:11">
      <c r="A98" s="33">
        <v>96</v>
      </c>
      <c r="B98" s="16" t="s">
        <v>220</v>
      </c>
      <c r="C98" s="54" t="s">
        <v>186</v>
      </c>
      <c r="D98" t="str">
        <f>"2040050"</f>
        <v>2040050</v>
      </c>
      <c r="E98" s="16" t="s">
        <v>86</v>
      </c>
      <c r="F98" s="16" t="s">
        <v>27</v>
      </c>
      <c r="G98" s="67" t="s">
        <v>228</v>
      </c>
      <c r="H98" s="16" t="s">
        <v>234</v>
      </c>
      <c r="I98" s="62" t="s">
        <v>213</v>
      </c>
      <c r="J98" s="62" t="s">
        <v>213</v>
      </c>
      <c r="K98" s="52" t="s">
        <v>91</v>
      </c>
    </row>
    <row r="99" spans="1:11">
      <c r="A99" s="33">
        <v>97</v>
      </c>
      <c r="B99" s="16" t="s">
        <v>220</v>
      </c>
      <c r="C99" s="54" t="s">
        <v>181</v>
      </c>
      <c r="D99" t="str">
        <f>"2040040"</f>
        <v>2040040</v>
      </c>
      <c r="E99" s="16" t="s">
        <v>86</v>
      </c>
      <c r="F99" s="16" t="s">
        <v>27</v>
      </c>
      <c r="G99" s="59" t="s">
        <v>224</v>
      </c>
      <c r="H99" s="16" t="s">
        <v>230</v>
      </c>
      <c r="I99" s="62">
        <v>1984</v>
      </c>
      <c r="J99" s="62">
        <v>1984</v>
      </c>
      <c r="K99" s="52" t="s">
        <v>91</v>
      </c>
    </row>
    <row r="100" spans="1:11">
      <c r="A100" s="33">
        <v>98</v>
      </c>
      <c r="B100" s="16" t="s">
        <v>220</v>
      </c>
      <c r="C100" s="54" t="s">
        <v>183</v>
      </c>
      <c r="D100" t="str">
        <f>"2040041"</f>
        <v>2040041</v>
      </c>
      <c r="E100" s="16" t="s">
        <v>86</v>
      </c>
      <c r="F100" s="16" t="s">
        <v>27</v>
      </c>
      <c r="G100" s="59" t="s">
        <v>224</v>
      </c>
      <c r="H100" s="16" t="s">
        <v>230</v>
      </c>
      <c r="I100" s="62"/>
      <c r="J100" s="62"/>
      <c r="K100" s="52" t="s">
        <v>91</v>
      </c>
    </row>
    <row r="101" spans="1:11">
      <c r="A101" s="33">
        <v>99</v>
      </c>
      <c r="B101" s="16" t="s">
        <v>220</v>
      </c>
      <c r="C101" s="54" t="s">
        <v>184</v>
      </c>
      <c r="D101" t="str">
        <f>"2040042"</f>
        <v>2040042</v>
      </c>
      <c r="E101" s="16" t="s">
        <v>86</v>
      </c>
      <c r="F101" s="16" t="s">
        <v>27</v>
      </c>
      <c r="G101" s="59" t="s">
        <v>224</v>
      </c>
      <c r="H101" s="16" t="s">
        <v>230</v>
      </c>
      <c r="I101" s="62">
        <v>1992</v>
      </c>
      <c r="J101" s="62">
        <v>1992</v>
      </c>
      <c r="K101" s="52" t="s">
        <v>91</v>
      </c>
    </row>
    <row r="102" spans="1:11">
      <c r="A102" s="33">
        <v>100</v>
      </c>
      <c r="B102" s="16" t="s">
        <v>220</v>
      </c>
      <c r="C102" s="56" t="s">
        <v>185</v>
      </c>
      <c r="D102" t="str">
        <f>"2050056"</f>
        <v>2050056</v>
      </c>
      <c r="E102" s="16" t="s">
        <v>86</v>
      </c>
      <c r="F102" s="16" t="s">
        <v>27</v>
      </c>
      <c r="G102" s="59" t="s">
        <v>224</v>
      </c>
      <c r="H102" s="16" t="s">
        <v>230</v>
      </c>
      <c r="I102" s="66">
        <v>1973</v>
      </c>
      <c r="J102" s="66">
        <v>1973</v>
      </c>
      <c r="K102" s="52" t="s">
        <v>91</v>
      </c>
    </row>
    <row r="103" spans="1:11">
      <c r="A103" s="33">
        <v>101</v>
      </c>
      <c r="B103" s="16" t="s">
        <v>220</v>
      </c>
      <c r="C103" s="56" t="s">
        <v>182</v>
      </c>
      <c r="D103" t="str">
        <f>"2040070"</f>
        <v>2040070</v>
      </c>
      <c r="E103" s="16" t="s">
        <v>86</v>
      </c>
      <c r="F103" s="16" t="s">
        <v>27</v>
      </c>
      <c r="G103" s="63" t="s">
        <v>229</v>
      </c>
      <c r="H103" s="16" t="s">
        <v>229</v>
      </c>
      <c r="I103" s="62">
        <v>1997</v>
      </c>
      <c r="J103" s="62">
        <v>1997</v>
      </c>
      <c r="K103" s="52" t="s">
        <v>91</v>
      </c>
    </row>
    <row r="104" spans="1:11">
      <c r="A104" s="33">
        <v>102</v>
      </c>
      <c r="B104" s="16" t="s">
        <v>220</v>
      </c>
      <c r="C104" s="54" t="s">
        <v>180</v>
      </c>
      <c r="D104" t="str">
        <f>"2040045"</f>
        <v>2040045</v>
      </c>
      <c r="E104" s="16" t="s">
        <v>86</v>
      </c>
      <c r="F104" s="16" t="s">
        <v>27</v>
      </c>
      <c r="G104" s="63" t="s">
        <v>227</v>
      </c>
      <c r="H104" s="16" t="s">
        <v>227</v>
      </c>
      <c r="I104" s="62">
        <v>1974</v>
      </c>
      <c r="J104" s="62">
        <v>1974</v>
      </c>
      <c r="K104" s="52" t="s">
        <v>91</v>
      </c>
    </row>
    <row r="105" spans="1:11">
      <c r="A105" s="33">
        <v>103</v>
      </c>
      <c r="B105" s="16" t="s">
        <v>220</v>
      </c>
      <c r="C105" s="54" t="s">
        <v>196</v>
      </c>
      <c r="D105" t="str">
        <f>"2064010"</f>
        <v>2064010</v>
      </c>
      <c r="E105" s="16" t="s">
        <v>23</v>
      </c>
      <c r="F105" s="16" t="s">
        <v>27</v>
      </c>
      <c r="G105" s="63" t="s">
        <v>228</v>
      </c>
      <c r="H105" s="16"/>
      <c r="I105" s="66">
        <v>1993</v>
      </c>
      <c r="J105" s="66">
        <v>1993</v>
      </c>
      <c r="K105" s="52" t="s">
        <v>91</v>
      </c>
    </row>
    <row r="106" spans="1:11">
      <c r="A106" s="33">
        <v>104</v>
      </c>
      <c r="B106" s="16" t="s">
        <v>220</v>
      </c>
      <c r="C106" s="54" t="s">
        <v>188</v>
      </c>
      <c r="D106" t="str">
        <f>"2051010"</f>
        <v>2051010</v>
      </c>
      <c r="E106" s="16" t="s">
        <v>23</v>
      </c>
      <c r="F106" s="16" t="s">
        <v>27</v>
      </c>
      <c r="G106" s="59" t="s">
        <v>224</v>
      </c>
      <c r="H106" s="16" t="s">
        <v>230</v>
      </c>
      <c r="I106" s="64">
        <v>30090</v>
      </c>
      <c r="J106" s="64">
        <v>30090</v>
      </c>
      <c r="K106" s="52" t="s">
        <v>91</v>
      </c>
    </row>
    <row r="107" spans="1:11" ht="30">
      <c r="A107" s="33">
        <v>105</v>
      </c>
      <c r="B107" s="16" t="s">
        <v>220</v>
      </c>
      <c r="C107" s="54" t="s">
        <v>189</v>
      </c>
      <c r="D107" t="str">
        <f>"2051020"</f>
        <v>2051020</v>
      </c>
      <c r="E107" s="16" t="s">
        <v>23</v>
      </c>
      <c r="F107" s="16" t="s">
        <v>27</v>
      </c>
      <c r="G107" s="59" t="s">
        <v>224</v>
      </c>
      <c r="H107" s="16" t="s">
        <v>230</v>
      </c>
      <c r="I107" s="62" t="s">
        <v>214</v>
      </c>
      <c r="J107" s="62" t="s">
        <v>214</v>
      </c>
      <c r="K107" s="52" t="s">
        <v>91</v>
      </c>
    </row>
    <row r="108" spans="1:11" ht="30">
      <c r="A108" s="33">
        <v>106</v>
      </c>
      <c r="B108" s="16" t="s">
        <v>220</v>
      </c>
      <c r="C108" s="54" t="s">
        <v>190</v>
      </c>
      <c r="D108" t="str">
        <f>"2051021"</f>
        <v>2051021</v>
      </c>
      <c r="E108" s="16" t="s">
        <v>23</v>
      </c>
      <c r="F108" s="16" t="s">
        <v>27</v>
      </c>
      <c r="G108" s="59" t="s">
        <v>224</v>
      </c>
      <c r="H108" s="16" t="s">
        <v>230</v>
      </c>
      <c r="I108" s="62">
        <v>1995</v>
      </c>
      <c r="J108" s="62">
        <v>1995</v>
      </c>
      <c r="K108" s="52" t="s">
        <v>91</v>
      </c>
    </row>
    <row r="109" spans="1:11" ht="30">
      <c r="A109" s="33">
        <v>107</v>
      </c>
      <c r="B109" s="16" t="s">
        <v>220</v>
      </c>
      <c r="C109" s="54" t="s">
        <v>191</v>
      </c>
      <c r="D109" t="str">
        <f>"2051040"</f>
        <v>2051040</v>
      </c>
      <c r="E109" s="16" t="s">
        <v>23</v>
      </c>
      <c r="F109" s="16" t="s">
        <v>27</v>
      </c>
      <c r="G109" s="59" t="s">
        <v>224</v>
      </c>
      <c r="H109" s="16" t="s">
        <v>230</v>
      </c>
      <c r="I109" s="62">
        <v>1938</v>
      </c>
      <c r="J109" s="62">
        <v>1938</v>
      </c>
      <c r="K109" s="52" t="s">
        <v>91</v>
      </c>
    </row>
    <row r="110" spans="1:11">
      <c r="A110" s="33">
        <v>108</v>
      </c>
      <c r="B110" s="16" t="s">
        <v>220</v>
      </c>
      <c r="C110" s="54" t="s">
        <v>192</v>
      </c>
      <c r="D110" t="str">
        <f>"2051070"</f>
        <v>2051070</v>
      </c>
      <c r="E110" s="16" t="s">
        <v>23</v>
      </c>
      <c r="F110" s="16" t="s">
        <v>27</v>
      </c>
      <c r="G110" s="59" t="s">
        <v>224</v>
      </c>
      <c r="H110" s="16" t="s">
        <v>230</v>
      </c>
      <c r="I110" s="62">
        <v>1932</v>
      </c>
      <c r="J110" s="62">
        <v>1932</v>
      </c>
      <c r="K110" s="52" t="s">
        <v>139</v>
      </c>
    </row>
    <row r="111" spans="1:11" ht="105">
      <c r="A111" s="33">
        <v>109</v>
      </c>
      <c r="B111" s="16" t="s">
        <v>220</v>
      </c>
      <c r="C111" s="56" t="s">
        <v>193</v>
      </c>
      <c r="D111" t="str">
        <f>"2051001"</f>
        <v>2051001</v>
      </c>
      <c r="E111" s="16" t="s">
        <v>23</v>
      </c>
      <c r="F111" s="16" t="s">
        <v>27</v>
      </c>
      <c r="G111" s="59" t="s">
        <v>224</v>
      </c>
      <c r="H111" s="16" t="s">
        <v>230</v>
      </c>
      <c r="I111" s="62" t="s">
        <v>215</v>
      </c>
      <c r="J111" s="62" t="s">
        <v>215</v>
      </c>
      <c r="K111" s="52" t="s">
        <v>91</v>
      </c>
    </row>
    <row r="112" spans="1:11">
      <c r="A112" s="33">
        <v>110</v>
      </c>
      <c r="B112" s="16" t="s">
        <v>220</v>
      </c>
      <c r="C112" s="54" t="s">
        <v>194</v>
      </c>
      <c r="D112" t="str">
        <f>"2051009"</f>
        <v>2051009</v>
      </c>
      <c r="E112" s="16" t="s">
        <v>23</v>
      </c>
      <c r="F112" s="16" t="s">
        <v>27</v>
      </c>
      <c r="G112" s="59" t="s">
        <v>224</v>
      </c>
      <c r="H112" s="16" t="s">
        <v>230</v>
      </c>
      <c r="I112" s="62">
        <v>1984</v>
      </c>
      <c r="J112" s="62">
        <v>1984</v>
      </c>
      <c r="K112" s="52" t="s">
        <v>91</v>
      </c>
    </row>
    <row r="113" spans="1:11">
      <c r="A113" s="33">
        <v>111</v>
      </c>
      <c r="B113" s="16" t="s">
        <v>220</v>
      </c>
      <c r="C113" s="54" t="s">
        <v>195</v>
      </c>
      <c r="D113" t="str">
        <f>"2044001"</f>
        <v>2044001</v>
      </c>
      <c r="E113" s="16" t="s">
        <v>23</v>
      </c>
      <c r="F113" s="16" t="s">
        <v>27</v>
      </c>
      <c r="G113" s="59" t="s">
        <v>224</v>
      </c>
      <c r="H113" s="16" t="s">
        <v>230</v>
      </c>
      <c r="I113" s="62">
        <v>2004</v>
      </c>
      <c r="J113" s="62">
        <v>2004</v>
      </c>
      <c r="K113" s="52" t="s">
        <v>91</v>
      </c>
    </row>
    <row r="114" spans="1:11">
      <c r="A114" s="33">
        <v>112</v>
      </c>
      <c r="B114" s="16" t="s">
        <v>220</v>
      </c>
      <c r="C114" s="54" t="s">
        <v>197</v>
      </c>
      <c r="D114" t="str">
        <f>"2090041"</f>
        <v>2090041</v>
      </c>
      <c r="E114" s="16" t="s">
        <v>23</v>
      </c>
      <c r="F114" s="16" t="s">
        <v>27</v>
      </c>
      <c r="G114" s="59" t="s">
        <v>224</v>
      </c>
      <c r="H114" s="16" t="s">
        <v>230</v>
      </c>
      <c r="I114" s="62">
        <v>1930</v>
      </c>
      <c r="J114" s="62">
        <v>1930</v>
      </c>
      <c r="K114" s="52" t="s">
        <v>91</v>
      </c>
    </row>
    <row r="115" spans="1:11" ht="30">
      <c r="A115" s="33">
        <v>113</v>
      </c>
      <c r="B115" s="16" t="s">
        <v>220</v>
      </c>
      <c r="C115" s="54" t="s">
        <v>198</v>
      </c>
      <c r="D115" t="str">
        <f>"2051060"</f>
        <v>2051060</v>
      </c>
      <c r="E115" s="16" t="s">
        <v>23</v>
      </c>
      <c r="F115" s="16" t="s">
        <v>27</v>
      </c>
      <c r="G115" s="59" t="s">
        <v>224</v>
      </c>
      <c r="H115" s="16" t="s">
        <v>222</v>
      </c>
      <c r="I115" s="62" t="s">
        <v>216</v>
      </c>
      <c r="J115" s="62" t="s">
        <v>216</v>
      </c>
      <c r="K115" s="52" t="s">
        <v>91</v>
      </c>
    </row>
    <row r="116" spans="1:11" ht="30">
      <c r="A116" s="33">
        <v>114</v>
      </c>
      <c r="B116" s="16" t="s">
        <v>220</v>
      </c>
      <c r="C116" s="54" t="s">
        <v>200</v>
      </c>
      <c r="D116" t="str">
        <f>"2062010"</f>
        <v>2062010</v>
      </c>
      <c r="E116" s="16" t="s">
        <v>23</v>
      </c>
      <c r="F116" s="16" t="s">
        <v>27</v>
      </c>
      <c r="G116" s="59" t="s">
        <v>224</v>
      </c>
      <c r="H116" s="16" t="s">
        <v>240</v>
      </c>
      <c r="I116" s="62">
        <v>1995</v>
      </c>
      <c r="J116" s="62">
        <v>1995</v>
      </c>
      <c r="K116" s="52" t="s">
        <v>91</v>
      </c>
    </row>
    <row r="117" spans="1:11">
      <c r="A117" s="33">
        <v>115</v>
      </c>
      <c r="B117" s="16" t="s">
        <v>220</v>
      </c>
      <c r="C117" s="54" t="s">
        <v>202</v>
      </c>
      <c r="D117" t="str">
        <f>"2051061"</f>
        <v>2051061</v>
      </c>
      <c r="E117" s="16" t="s">
        <v>23</v>
      </c>
      <c r="F117" s="16" t="s">
        <v>27</v>
      </c>
      <c r="G117" s="59" t="s">
        <v>224</v>
      </c>
      <c r="H117" s="16" t="s">
        <v>239</v>
      </c>
      <c r="I117" s="59"/>
      <c r="J117" s="59"/>
      <c r="K117" s="52" t="s">
        <v>91</v>
      </c>
    </row>
    <row r="118" spans="1:11" ht="45">
      <c r="A118" s="33">
        <v>116</v>
      </c>
      <c r="B118" s="16" t="s">
        <v>220</v>
      </c>
      <c r="C118" s="54" t="s">
        <v>203</v>
      </c>
      <c r="D118" t="str">
        <f>"2051030"</f>
        <v>2051030</v>
      </c>
      <c r="E118" s="16" t="s">
        <v>23</v>
      </c>
      <c r="F118" s="16" t="s">
        <v>27</v>
      </c>
      <c r="G118" s="59" t="s">
        <v>224</v>
      </c>
      <c r="H118" s="16" t="s">
        <v>230</v>
      </c>
      <c r="I118" s="65" t="s">
        <v>218</v>
      </c>
      <c r="J118" s="65" t="s">
        <v>218</v>
      </c>
      <c r="K118" s="52" t="s">
        <v>91</v>
      </c>
    </row>
    <row r="119" spans="1:11" ht="30">
      <c r="A119" s="33">
        <v>117</v>
      </c>
      <c r="B119" s="16" t="s">
        <v>220</v>
      </c>
      <c r="C119" s="54" t="s">
        <v>201</v>
      </c>
      <c r="D119" t="str">
        <f>"2054010"</f>
        <v>2054010</v>
      </c>
      <c r="E119" s="16" t="s">
        <v>23</v>
      </c>
      <c r="F119" s="16" t="s">
        <v>27</v>
      </c>
      <c r="G119" s="63" t="s">
        <v>229</v>
      </c>
      <c r="H119" s="16" t="s">
        <v>229</v>
      </c>
      <c r="I119" s="62" t="s">
        <v>217</v>
      </c>
      <c r="J119" s="62" t="s">
        <v>217</v>
      </c>
      <c r="K119" s="52" t="s">
        <v>91</v>
      </c>
    </row>
    <row r="120" spans="1:11">
      <c r="A120" s="33">
        <v>118</v>
      </c>
      <c r="B120" s="16" t="s">
        <v>220</v>
      </c>
      <c r="C120" s="54" t="s">
        <v>187</v>
      </c>
      <c r="D120" t="str">
        <f>"2055010"</f>
        <v>2055010</v>
      </c>
      <c r="E120" s="16" t="s">
        <v>23</v>
      </c>
      <c r="F120" s="16" t="s">
        <v>27</v>
      </c>
      <c r="G120" s="63" t="s">
        <v>227</v>
      </c>
      <c r="H120" s="16" t="s">
        <v>227</v>
      </c>
      <c r="I120" s="62">
        <v>1974</v>
      </c>
      <c r="J120" s="62">
        <v>1974</v>
      </c>
      <c r="K120" s="52" t="s">
        <v>91</v>
      </c>
    </row>
    <row r="121" spans="1:11">
      <c r="A121" s="33">
        <v>119</v>
      </c>
      <c r="B121" s="16" t="s">
        <v>220</v>
      </c>
      <c r="C121" s="54" t="s">
        <v>199</v>
      </c>
      <c r="D121" t="str">
        <f>"2053010"</f>
        <v>2053010</v>
      </c>
      <c r="E121" s="16" t="s">
        <v>23</v>
      </c>
      <c r="F121" s="16" t="s">
        <v>27</v>
      </c>
      <c r="G121" s="63" t="s">
        <v>225</v>
      </c>
      <c r="H121" s="16" t="s">
        <v>223</v>
      </c>
      <c r="I121" s="62">
        <v>1964</v>
      </c>
      <c r="J121" s="62">
        <v>1964</v>
      </c>
      <c r="K121" s="52" t="s">
        <v>91</v>
      </c>
    </row>
    <row r="122" spans="1:11" ht="30">
      <c r="A122" s="33">
        <v>120</v>
      </c>
      <c r="B122" s="16" t="s">
        <v>220</v>
      </c>
      <c r="C122" s="54" t="s">
        <v>177</v>
      </c>
      <c r="D122" t="str">
        <f>"2001035"</f>
        <v>2001035</v>
      </c>
      <c r="E122" s="16" t="s">
        <v>221</v>
      </c>
      <c r="F122" s="16" t="s">
        <v>27</v>
      </c>
      <c r="G122" s="59" t="s">
        <v>224</v>
      </c>
      <c r="H122" s="16" t="s">
        <v>230</v>
      </c>
      <c r="I122" s="62">
        <v>1950</v>
      </c>
      <c r="J122" s="62">
        <v>1950</v>
      </c>
      <c r="K122" s="52" t="s">
        <v>91</v>
      </c>
    </row>
    <row r="123" spans="1:11">
      <c r="A123" s="33">
        <v>121</v>
      </c>
      <c r="B123" s="16" t="s">
        <v>282</v>
      </c>
      <c r="C123" s="52" t="s">
        <v>256</v>
      </c>
      <c r="D123" t="str">
        <f>"4004010"</f>
        <v>4004010</v>
      </c>
      <c r="E123" s="52" t="s">
        <v>22</v>
      </c>
      <c r="F123" s="16" t="s">
        <v>28</v>
      </c>
      <c r="G123" s="52" t="s">
        <v>283</v>
      </c>
      <c r="H123" s="16" t="s">
        <v>285</v>
      </c>
      <c r="I123" s="53">
        <v>1980</v>
      </c>
      <c r="J123" s="70" t="s">
        <v>39</v>
      </c>
      <c r="K123" s="52" t="s">
        <v>91</v>
      </c>
    </row>
    <row r="124" spans="1:11">
      <c r="A124" s="33">
        <v>122</v>
      </c>
      <c r="B124" s="16" t="s">
        <v>282</v>
      </c>
      <c r="C124" s="52" t="s">
        <v>259</v>
      </c>
      <c r="D124" t="str">
        <f>"4004020"</f>
        <v>4004020</v>
      </c>
      <c r="E124" s="52" t="s">
        <v>22</v>
      </c>
      <c r="F124" s="16" t="s">
        <v>28</v>
      </c>
      <c r="G124" s="52" t="s">
        <v>283</v>
      </c>
      <c r="H124" s="16" t="s">
        <v>285</v>
      </c>
      <c r="I124" s="53">
        <v>1980</v>
      </c>
      <c r="J124" s="70" t="s">
        <v>39</v>
      </c>
      <c r="K124" s="52" t="s">
        <v>91</v>
      </c>
    </row>
    <row r="125" spans="1:11">
      <c r="A125" s="33">
        <v>123</v>
      </c>
      <c r="B125" s="16" t="s">
        <v>282</v>
      </c>
      <c r="C125" s="52" t="s">
        <v>263</v>
      </c>
      <c r="D125" t="str">
        <f>"4002010"</f>
        <v>4002010</v>
      </c>
      <c r="E125" s="52" t="s">
        <v>22</v>
      </c>
      <c r="F125" s="16" t="s">
        <v>28</v>
      </c>
      <c r="G125" s="52" t="s">
        <v>283</v>
      </c>
      <c r="H125" s="16" t="s">
        <v>286</v>
      </c>
      <c r="I125" s="53">
        <v>1971</v>
      </c>
      <c r="J125" s="73" t="s">
        <v>39</v>
      </c>
      <c r="K125" s="52" t="s">
        <v>91</v>
      </c>
    </row>
    <row r="126" spans="1:11">
      <c r="A126" s="33">
        <v>124</v>
      </c>
      <c r="B126" s="16" t="s">
        <v>282</v>
      </c>
      <c r="C126" s="52" t="s">
        <v>264</v>
      </c>
      <c r="D126" t="str">
        <f>"4006010"</f>
        <v>4006010</v>
      </c>
      <c r="E126" s="52" t="s">
        <v>22</v>
      </c>
      <c r="F126" s="16" t="s">
        <v>28</v>
      </c>
      <c r="G126" s="52" t="s">
        <v>284</v>
      </c>
      <c r="H126" s="16" t="s">
        <v>287</v>
      </c>
      <c r="I126" s="53">
        <v>1979</v>
      </c>
      <c r="J126" s="70" t="s">
        <v>39</v>
      </c>
      <c r="K126" s="52" t="s">
        <v>91</v>
      </c>
    </row>
    <row r="127" spans="1:11" ht="26.25">
      <c r="A127" s="33">
        <v>125</v>
      </c>
      <c r="B127" s="16" t="s">
        <v>282</v>
      </c>
      <c r="C127" s="52" t="s">
        <v>266</v>
      </c>
      <c r="D127" t="str">
        <f>"4003010"</f>
        <v>4003010</v>
      </c>
      <c r="E127" s="52" t="s">
        <v>22</v>
      </c>
      <c r="F127" s="16" t="s">
        <v>28</v>
      </c>
      <c r="G127" s="52" t="s">
        <v>284</v>
      </c>
      <c r="H127" s="16" t="s">
        <v>284</v>
      </c>
      <c r="I127" s="53">
        <v>1962</v>
      </c>
      <c r="J127" s="74" t="s">
        <v>291</v>
      </c>
      <c r="K127" s="52" t="s">
        <v>91</v>
      </c>
    </row>
    <row r="128" spans="1:11">
      <c r="A128" s="33">
        <v>126</v>
      </c>
      <c r="B128" s="16" t="s">
        <v>282</v>
      </c>
      <c r="C128" s="52" t="s">
        <v>257</v>
      </c>
      <c r="D128" t="str">
        <f>"4001010"</f>
        <v>4001010</v>
      </c>
      <c r="E128" s="52" t="s">
        <v>22</v>
      </c>
      <c r="F128" s="16" t="s">
        <v>28</v>
      </c>
      <c r="G128" s="52" t="s">
        <v>28</v>
      </c>
      <c r="H128" s="16" t="s">
        <v>28</v>
      </c>
      <c r="I128" s="53">
        <v>1915</v>
      </c>
      <c r="J128" s="71" t="s">
        <v>40</v>
      </c>
      <c r="K128" s="52" t="s">
        <v>91</v>
      </c>
    </row>
    <row r="129" spans="1:11">
      <c r="A129" s="33">
        <v>127</v>
      </c>
      <c r="B129" s="16" t="s">
        <v>282</v>
      </c>
      <c r="C129" s="52" t="s">
        <v>258</v>
      </c>
      <c r="D129" t="str">
        <f>"4001020"</f>
        <v>4001020</v>
      </c>
      <c r="E129" s="52" t="s">
        <v>22</v>
      </c>
      <c r="F129" s="16" t="s">
        <v>28</v>
      </c>
      <c r="G129" s="52" t="s">
        <v>28</v>
      </c>
      <c r="H129" s="16" t="s">
        <v>28</v>
      </c>
      <c r="I129" s="53">
        <v>1980</v>
      </c>
      <c r="J129" s="70" t="s">
        <v>39</v>
      </c>
      <c r="K129" s="52" t="s">
        <v>91</v>
      </c>
    </row>
    <row r="130" spans="1:11">
      <c r="A130" s="33">
        <v>128</v>
      </c>
      <c r="B130" s="16" t="s">
        <v>282</v>
      </c>
      <c r="C130" s="52" t="s">
        <v>260</v>
      </c>
      <c r="D130" t="str">
        <f>"4001030"</f>
        <v>4001030</v>
      </c>
      <c r="E130" s="52" t="s">
        <v>22</v>
      </c>
      <c r="F130" s="16" t="s">
        <v>28</v>
      </c>
      <c r="G130" s="52" t="s">
        <v>28</v>
      </c>
      <c r="H130" s="16" t="s">
        <v>28</v>
      </c>
      <c r="I130" s="69"/>
      <c r="J130" s="71" t="s">
        <v>39</v>
      </c>
      <c r="K130" s="52" t="s">
        <v>91</v>
      </c>
    </row>
    <row r="131" spans="1:11">
      <c r="A131" s="33">
        <v>129</v>
      </c>
      <c r="B131" s="16" t="s">
        <v>282</v>
      </c>
      <c r="C131" s="52" t="s">
        <v>261</v>
      </c>
      <c r="D131" t="str">
        <f>"4001035"</f>
        <v>4001035</v>
      </c>
      <c r="E131" s="52" t="s">
        <v>22</v>
      </c>
      <c r="F131" s="16" t="s">
        <v>28</v>
      </c>
      <c r="G131" s="52" t="s">
        <v>28</v>
      </c>
      <c r="H131" s="16" t="s">
        <v>28</v>
      </c>
      <c r="I131" s="53">
        <v>2006</v>
      </c>
      <c r="J131" s="70" t="s">
        <v>39</v>
      </c>
      <c r="K131" s="52" t="s">
        <v>91</v>
      </c>
    </row>
    <row r="132" spans="1:11" ht="29.25">
      <c r="A132" s="33">
        <v>130</v>
      </c>
      <c r="B132" s="16" t="s">
        <v>282</v>
      </c>
      <c r="C132" s="52" t="s">
        <v>262</v>
      </c>
      <c r="D132" t="str">
        <f>"4001040"</f>
        <v>4001040</v>
      </c>
      <c r="E132" s="52" t="s">
        <v>22</v>
      </c>
      <c r="F132" s="16" t="s">
        <v>28</v>
      </c>
      <c r="G132" s="52" t="s">
        <v>28</v>
      </c>
      <c r="H132" s="16" t="s">
        <v>290</v>
      </c>
      <c r="I132" s="53">
        <v>1956</v>
      </c>
      <c r="J132" s="72" t="s">
        <v>291</v>
      </c>
      <c r="K132" s="52" t="s">
        <v>91</v>
      </c>
    </row>
    <row r="133" spans="1:11">
      <c r="A133" s="33">
        <v>131</v>
      </c>
      <c r="B133" s="16" t="s">
        <v>282</v>
      </c>
      <c r="C133" s="52" t="s">
        <v>265</v>
      </c>
      <c r="D133" t="str">
        <f>"4005010"</f>
        <v>4005010</v>
      </c>
      <c r="E133" s="52" t="s">
        <v>22</v>
      </c>
      <c r="F133" s="16" t="s">
        <v>28</v>
      </c>
      <c r="G133" s="52" t="s">
        <v>28</v>
      </c>
      <c r="H133" s="16" t="s">
        <v>288</v>
      </c>
      <c r="I133" s="53">
        <v>1972</v>
      </c>
      <c r="J133" s="70" t="s">
        <v>39</v>
      </c>
      <c r="K133" s="52" t="s">
        <v>91</v>
      </c>
    </row>
    <row r="134" spans="1:11">
      <c r="A134" s="33">
        <v>132</v>
      </c>
      <c r="B134" s="16" t="s">
        <v>282</v>
      </c>
      <c r="C134" s="52" t="s">
        <v>267</v>
      </c>
      <c r="D134" t="str">
        <f>"4001005"</f>
        <v>4001005</v>
      </c>
      <c r="E134" s="52" t="s">
        <v>22</v>
      </c>
      <c r="F134" s="16" t="s">
        <v>28</v>
      </c>
      <c r="G134" s="52" t="s">
        <v>28</v>
      </c>
      <c r="H134" s="16" t="s">
        <v>28</v>
      </c>
      <c r="I134" s="53">
        <v>1990</v>
      </c>
      <c r="J134" s="70" t="s">
        <v>39</v>
      </c>
      <c r="K134" s="52" t="s">
        <v>91</v>
      </c>
    </row>
    <row r="135" spans="1:11">
      <c r="A135" s="33">
        <v>133</v>
      </c>
      <c r="B135" s="16" t="s">
        <v>282</v>
      </c>
      <c r="C135" s="52" t="s">
        <v>268</v>
      </c>
      <c r="D135" t="str">
        <f>"4001037"</f>
        <v>4001037</v>
      </c>
      <c r="E135" s="52" t="s">
        <v>22</v>
      </c>
      <c r="F135" s="16" t="s">
        <v>28</v>
      </c>
      <c r="G135" s="52" t="s">
        <v>28</v>
      </c>
      <c r="H135" s="16" t="s">
        <v>28</v>
      </c>
      <c r="I135" s="69"/>
      <c r="J135" s="71" t="s">
        <v>40</v>
      </c>
      <c r="K135" s="52" t="s">
        <v>91</v>
      </c>
    </row>
    <row r="136" spans="1:11">
      <c r="A136" s="33">
        <v>134</v>
      </c>
      <c r="B136" s="16" t="s">
        <v>282</v>
      </c>
      <c r="C136" s="52" t="s">
        <v>269</v>
      </c>
      <c r="D136" t="str">
        <f>"4041001"</f>
        <v>4041001</v>
      </c>
      <c r="E136" s="52" t="s">
        <v>85</v>
      </c>
      <c r="F136" s="16" t="s">
        <v>28</v>
      </c>
      <c r="G136" s="52" t="s">
        <v>28</v>
      </c>
      <c r="H136" s="16" t="s">
        <v>289</v>
      </c>
      <c r="I136" s="53">
        <v>1950</v>
      </c>
      <c r="J136" s="70" t="s">
        <v>40</v>
      </c>
      <c r="K136" s="52" t="s">
        <v>91</v>
      </c>
    </row>
    <row r="137" spans="1:11">
      <c r="A137" s="33">
        <v>135</v>
      </c>
      <c r="B137" s="16" t="s">
        <v>282</v>
      </c>
      <c r="C137" s="52" t="s">
        <v>271</v>
      </c>
      <c r="D137" t="str">
        <f>"4040050"</f>
        <v>4040050</v>
      </c>
      <c r="E137" s="52" t="s">
        <v>86</v>
      </c>
      <c r="F137" s="16" t="s">
        <v>28</v>
      </c>
      <c r="G137" s="52" t="s">
        <v>283</v>
      </c>
      <c r="H137" s="16" t="s">
        <v>285</v>
      </c>
      <c r="I137" s="53">
        <v>1998</v>
      </c>
      <c r="J137" s="70" t="s">
        <v>39</v>
      </c>
      <c r="K137" s="52" t="s">
        <v>91</v>
      </c>
    </row>
    <row r="138" spans="1:11">
      <c r="A138" s="33">
        <v>136</v>
      </c>
      <c r="B138" s="16" t="s">
        <v>282</v>
      </c>
      <c r="C138" s="52" t="s">
        <v>272</v>
      </c>
      <c r="D138" t="str">
        <f>"4040060"</f>
        <v>4040060</v>
      </c>
      <c r="E138" s="52" t="s">
        <v>86</v>
      </c>
      <c r="F138" s="16" t="s">
        <v>28</v>
      </c>
      <c r="G138" s="52" t="s">
        <v>284</v>
      </c>
      <c r="H138" s="16" t="s">
        <v>287</v>
      </c>
      <c r="I138" s="53">
        <v>1997</v>
      </c>
      <c r="J138" s="70" t="s">
        <v>39</v>
      </c>
      <c r="K138" s="52" t="s">
        <v>91</v>
      </c>
    </row>
    <row r="139" spans="1:11">
      <c r="A139" s="33">
        <v>137</v>
      </c>
      <c r="B139" s="16" t="s">
        <v>282</v>
      </c>
      <c r="C139" s="52" t="s">
        <v>270</v>
      </c>
      <c r="D139" t="str">
        <f>"4040030"</f>
        <v>4040030</v>
      </c>
      <c r="E139" s="52" t="s">
        <v>86</v>
      </c>
      <c r="F139" s="16" t="s">
        <v>28</v>
      </c>
      <c r="G139" s="52" t="s">
        <v>28</v>
      </c>
      <c r="H139" s="16" t="s">
        <v>28</v>
      </c>
      <c r="I139" s="53">
        <v>1980</v>
      </c>
      <c r="J139" s="70" t="s">
        <v>39</v>
      </c>
      <c r="K139" s="52" t="s">
        <v>91</v>
      </c>
    </row>
    <row r="140" spans="1:11">
      <c r="A140" s="33">
        <v>138</v>
      </c>
      <c r="B140" s="16" t="s">
        <v>282</v>
      </c>
      <c r="C140" s="52" t="s">
        <v>273</v>
      </c>
      <c r="D140" t="str">
        <f>"4053001"</f>
        <v>4053001</v>
      </c>
      <c r="E140" s="52" t="s">
        <v>86</v>
      </c>
      <c r="F140" s="16" t="s">
        <v>28</v>
      </c>
      <c r="G140" s="52" t="s">
        <v>28</v>
      </c>
      <c r="H140" s="16" t="s">
        <v>28</v>
      </c>
      <c r="I140" s="53">
        <v>1980</v>
      </c>
      <c r="J140" s="70" t="s">
        <v>39</v>
      </c>
      <c r="K140" s="52" t="s">
        <v>91</v>
      </c>
    </row>
    <row r="141" spans="1:11">
      <c r="A141" s="33">
        <v>139</v>
      </c>
      <c r="B141" s="16" t="s">
        <v>282</v>
      </c>
      <c r="C141" s="52" t="s">
        <v>275</v>
      </c>
      <c r="D141" t="str">
        <f>"4054010"</f>
        <v>4054010</v>
      </c>
      <c r="E141" s="16" t="s">
        <v>23</v>
      </c>
      <c r="F141" s="16" t="s">
        <v>28</v>
      </c>
      <c r="G141" s="52" t="s">
        <v>283</v>
      </c>
      <c r="H141" s="16" t="s">
        <v>285</v>
      </c>
      <c r="I141" s="53">
        <v>1985</v>
      </c>
      <c r="J141" s="70" t="s">
        <v>292</v>
      </c>
      <c r="K141" s="52" t="s">
        <v>91</v>
      </c>
    </row>
    <row r="142" spans="1:11">
      <c r="A142" s="33">
        <v>140</v>
      </c>
      <c r="B142" s="16" t="s">
        <v>282</v>
      </c>
      <c r="C142" s="52" t="s">
        <v>277</v>
      </c>
      <c r="D142" t="str">
        <f>"4052010"</f>
        <v>4052010</v>
      </c>
      <c r="E142" s="16" t="s">
        <v>23</v>
      </c>
      <c r="F142" s="16" t="s">
        <v>28</v>
      </c>
      <c r="G142" s="52" t="s">
        <v>283</v>
      </c>
      <c r="H142" s="16" t="s">
        <v>286</v>
      </c>
      <c r="I142" s="53">
        <v>1975</v>
      </c>
      <c r="J142" s="70" t="s">
        <v>39</v>
      </c>
      <c r="K142" s="52" t="s">
        <v>91</v>
      </c>
    </row>
    <row r="143" spans="1:11">
      <c r="A143" s="33">
        <v>141</v>
      </c>
      <c r="B143" s="16" t="s">
        <v>282</v>
      </c>
      <c r="C143" s="52" t="s">
        <v>279</v>
      </c>
      <c r="D143" t="str">
        <f>"4053010"</f>
        <v>4053010</v>
      </c>
      <c r="E143" s="16" t="s">
        <v>23</v>
      </c>
      <c r="F143" s="16" t="s">
        <v>28</v>
      </c>
      <c r="G143" s="52" t="s">
        <v>284</v>
      </c>
      <c r="H143" s="16" t="s">
        <v>284</v>
      </c>
      <c r="I143" s="53">
        <v>1962</v>
      </c>
      <c r="J143" s="70" t="s">
        <v>40</v>
      </c>
      <c r="K143" s="52" t="s">
        <v>91</v>
      </c>
    </row>
    <row r="144" spans="1:11">
      <c r="A144" s="33">
        <v>142</v>
      </c>
      <c r="B144" s="16" t="s">
        <v>282</v>
      </c>
      <c r="C144" s="52" t="s">
        <v>281</v>
      </c>
      <c r="D144" t="str">
        <f>"4056010"</f>
        <v>4056010</v>
      </c>
      <c r="E144" s="16" t="s">
        <v>23</v>
      </c>
      <c r="F144" s="16" t="s">
        <v>28</v>
      </c>
      <c r="G144" s="52" t="s">
        <v>284</v>
      </c>
      <c r="H144" s="16" t="s">
        <v>287</v>
      </c>
      <c r="I144" s="53">
        <v>1979</v>
      </c>
      <c r="J144" s="70" t="s">
        <v>39</v>
      </c>
      <c r="K144" s="52" t="s">
        <v>91</v>
      </c>
    </row>
    <row r="145" spans="1:11">
      <c r="A145" s="33">
        <v>143</v>
      </c>
      <c r="B145" s="16" t="s">
        <v>282</v>
      </c>
      <c r="C145" s="52" t="s">
        <v>274</v>
      </c>
      <c r="D145" t="str">
        <f>"4051010"</f>
        <v>4051010</v>
      </c>
      <c r="E145" s="16" t="s">
        <v>23</v>
      </c>
      <c r="F145" s="16" t="s">
        <v>28</v>
      </c>
      <c r="G145" s="52" t="s">
        <v>28</v>
      </c>
      <c r="H145" s="16" t="s">
        <v>28</v>
      </c>
      <c r="I145" s="53">
        <v>1990</v>
      </c>
      <c r="J145" s="70" t="s">
        <v>39</v>
      </c>
      <c r="K145" s="52" t="s">
        <v>91</v>
      </c>
    </row>
    <row r="146" spans="1:11">
      <c r="A146" s="33">
        <v>144</v>
      </c>
      <c r="B146" s="16" t="s">
        <v>282</v>
      </c>
      <c r="C146" s="52" t="s">
        <v>276</v>
      </c>
      <c r="D146" t="str">
        <f>"4051020"</f>
        <v>4051020</v>
      </c>
      <c r="E146" s="16" t="s">
        <v>23</v>
      </c>
      <c r="F146" s="16" t="s">
        <v>28</v>
      </c>
      <c r="G146" s="52" t="s">
        <v>28</v>
      </c>
      <c r="H146" s="16" t="s">
        <v>28</v>
      </c>
      <c r="I146" s="53">
        <v>1999</v>
      </c>
      <c r="J146" s="70" t="s">
        <v>39</v>
      </c>
      <c r="K146" s="52" t="s">
        <v>91</v>
      </c>
    </row>
    <row r="147" spans="1:11">
      <c r="A147" s="33">
        <v>145</v>
      </c>
      <c r="B147" s="16" t="s">
        <v>282</v>
      </c>
      <c r="C147" s="52" t="s">
        <v>278</v>
      </c>
      <c r="D147" t="str">
        <f>"4055010"</f>
        <v>4055010</v>
      </c>
      <c r="E147" s="16" t="s">
        <v>23</v>
      </c>
      <c r="F147" s="16" t="s">
        <v>28</v>
      </c>
      <c r="G147" s="52" t="s">
        <v>28</v>
      </c>
      <c r="H147" s="16" t="s">
        <v>288</v>
      </c>
      <c r="I147" s="53">
        <v>1994</v>
      </c>
      <c r="J147" s="70" t="s">
        <v>39</v>
      </c>
      <c r="K147" s="52" t="s">
        <v>91</v>
      </c>
    </row>
    <row r="148" spans="1:11">
      <c r="A148" s="33">
        <v>146</v>
      </c>
      <c r="B148" s="16" t="s">
        <v>282</v>
      </c>
      <c r="C148" s="52" t="s">
        <v>280</v>
      </c>
      <c r="D148" t="str">
        <f>"4051005"</f>
        <v>4051005</v>
      </c>
      <c r="E148" s="16" t="s">
        <v>23</v>
      </c>
      <c r="F148" s="16" t="s">
        <v>28</v>
      </c>
      <c r="G148" s="52" t="s">
        <v>28</v>
      </c>
      <c r="H148" s="16" t="s">
        <v>28</v>
      </c>
      <c r="I148" s="53">
        <v>1990</v>
      </c>
      <c r="J148" s="70" t="s">
        <v>39</v>
      </c>
      <c r="K148" s="52" t="s">
        <v>91</v>
      </c>
    </row>
    <row r="149" spans="1:11">
      <c r="A149" s="33">
        <v>147</v>
      </c>
      <c r="B149" s="16" t="s">
        <v>784</v>
      </c>
      <c r="C149" s="52" t="s">
        <v>681</v>
      </c>
      <c r="D149" t="str">
        <f>"9040101"</f>
        <v>9040101</v>
      </c>
      <c r="E149" s="52" t="s">
        <v>467</v>
      </c>
      <c r="F149" s="16" t="s">
        <v>25</v>
      </c>
      <c r="G149" s="52" t="s">
        <v>785</v>
      </c>
      <c r="H149" s="16" t="s">
        <v>25</v>
      </c>
      <c r="I149" s="91">
        <v>1999</v>
      </c>
      <c r="J149" s="91" t="s">
        <v>789</v>
      </c>
      <c r="K149" s="52" t="s">
        <v>91</v>
      </c>
    </row>
    <row r="150" spans="1:11">
      <c r="A150" s="33">
        <v>148</v>
      </c>
      <c r="B150" s="16" t="s">
        <v>784</v>
      </c>
      <c r="C150" s="52" t="s">
        <v>682</v>
      </c>
      <c r="D150" t="str">
        <f>"9040257"</f>
        <v>9040257</v>
      </c>
      <c r="E150" s="52" t="s">
        <v>467</v>
      </c>
      <c r="F150" s="16" t="s">
        <v>25</v>
      </c>
      <c r="G150" s="52" t="s">
        <v>785</v>
      </c>
      <c r="H150" s="16" t="s">
        <v>25</v>
      </c>
      <c r="I150" s="29">
        <v>1997</v>
      </c>
      <c r="J150" s="29" t="s">
        <v>139</v>
      </c>
      <c r="K150" s="52" t="s">
        <v>91</v>
      </c>
    </row>
    <row r="151" spans="1:11">
      <c r="A151" s="33">
        <v>149</v>
      </c>
      <c r="B151" s="16" t="s">
        <v>784</v>
      </c>
      <c r="C151" s="52" t="s">
        <v>683</v>
      </c>
      <c r="D151" t="str">
        <f>"9040004"</f>
        <v>9040004</v>
      </c>
      <c r="E151" s="52" t="s">
        <v>467</v>
      </c>
      <c r="F151" s="16" t="s">
        <v>25</v>
      </c>
      <c r="G151" s="52" t="s">
        <v>785</v>
      </c>
      <c r="H151" s="16" t="s">
        <v>25</v>
      </c>
      <c r="I151" s="29">
        <v>1930</v>
      </c>
      <c r="J151" s="29" t="s">
        <v>91</v>
      </c>
      <c r="K151" s="52" t="s">
        <v>91</v>
      </c>
    </row>
    <row r="152" spans="1:11">
      <c r="A152" s="33">
        <v>150</v>
      </c>
      <c r="B152" s="16" t="s">
        <v>784</v>
      </c>
      <c r="C152" s="52" t="s">
        <v>684</v>
      </c>
      <c r="D152" t="str">
        <f>"9040252"</f>
        <v>9040252</v>
      </c>
      <c r="E152" s="52" t="s">
        <v>467</v>
      </c>
      <c r="F152" s="16" t="s">
        <v>25</v>
      </c>
      <c r="G152" s="52" t="s">
        <v>785</v>
      </c>
      <c r="H152" s="16" t="s">
        <v>25</v>
      </c>
      <c r="I152" s="29">
        <v>1978</v>
      </c>
      <c r="J152" s="91" t="s">
        <v>139</v>
      </c>
      <c r="K152" s="52" t="s">
        <v>91</v>
      </c>
    </row>
    <row r="153" spans="1:11">
      <c r="A153" s="33">
        <v>151</v>
      </c>
      <c r="B153" s="16" t="s">
        <v>784</v>
      </c>
      <c r="C153" s="52" t="s">
        <v>685</v>
      </c>
      <c r="D153" t="str">
        <f>"9040239"</f>
        <v>9040239</v>
      </c>
      <c r="E153" s="52" t="s">
        <v>467</v>
      </c>
      <c r="F153" s="16" t="s">
        <v>25</v>
      </c>
      <c r="G153" s="52" t="s">
        <v>785</v>
      </c>
      <c r="H153" s="16" t="s">
        <v>25</v>
      </c>
      <c r="I153" s="29">
        <v>2002</v>
      </c>
      <c r="J153" s="29" t="s">
        <v>139</v>
      </c>
      <c r="K153" s="52" t="s">
        <v>91</v>
      </c>
    </row>
    <row r="154" spans="1:11">
      <c r="A154" s="33">
        <v>152</v>
      </c>
      <c r="B154" s="16" t="s">
        <v>784</v>
      </c>
      <c r="C154" s="52" t="s">
        <v>686</v>
      </c>
      <c r="D154" t="str">
        <f>"9040105"</f>
        <v>9040105</v>
      </c>
      <c r="E154" s="52" t="s">
        <v>467</v>
      </c>
      <c r="F154" s="16" t="s">
        <v>25</v>
      </c>
      <c r="G154" s="52" t="s">
        <v>785</v>
      </c>
      <c r="H154" s="16" t="s">
        <v>25</v>
      </c>
      <c r="I154" s="29">
        <v>1978</v>
      </c>
      <c r="J154" s="91" t="s">
        <v>139</v>
      </c>
      <c r="K154" s="52" t="s">
        <v>91</v>
      </c>
    </row>
    <row r="155" spans="1:11">
      <c r="A155" s="33">
        <v>153</v>
      </c>
      <c r="B155" s="16" t="s">
        <v>784</v>
      </c>
      <c r="C155" s="52" t="s">
        <v>687</v>
      </c>
      <c r="D155" t="str">
        <f>"9040008"</f>
        <v>9040008</v>
      </c>
      <c r="E155" s="52" t="s">
        <v>467</v>
      </c>
      <c r="F155" s="16" t="s">
        <v>25</v>
      </c>
      <c r="G155" s="52" t="s">
        <v>785</v>
      </c>
      <c r="H155" s="16" t="s">
        <v>25</v>
      </c>
      <c r="I155" s="29">
        <v>1973</v>
      </c>
      <c r="J155" s="29" t="s">
        <v>91</v>
      </c>
      <c r="K155" s="52" t="s">
        <v>91</v>
      </c>
    </row>
    <row r="156" spans="1:11">
      <c r="A156" s="33">
        <v>154</v>
      </c>
      <c r="B156" s="16" t="s">
        <v>784</v>
      </c>
      <c r="C156" s="52" t="s">
        <v>688</v>
      </c>
      <c r="D156" t="str">
        <f>"9040106"</f>
        <v>9040106</v>
      </c>
      <c r="E156" s="52" t="s">
        <v>467</v>
      </c>
      <c r="F156" s="16" t="s">
        <v>25</v>
      </c>
      <c r="G156" s="52" t="s">
        <v>785</v>
      </c>
      <c r="H156" s="16" t="s">
        <v>25</v>
      </c>
      <c r="I156" s="29">
        <v>2014</v>
      </c>
      <c r="J156" s="29" t="s">
        <v>139</v>
      </c>
      <c r="K156" s="52" t="s">
        <v>91</v>
      </c>
    </row>
    <row r="157" spans="1:11">
      <c r="A157" s="33">
        <v>155</v>
      </c>
      <c r="B157" s="16" t="s">
        <v>784</v>
      </c>
      <c r="C157" s="52" t="s">
        <v>689</v>
      </c>
      <c r="D157" t="str">
        <f>"9040264"</f>
        <v>9040264</v>
      </c>
      <c r="E157" s="52" t="s">
        <v>467</v>
      </c>
      <c r="F157" s="16" t="s">
        <v>25</v>
      </c>
      <c r="G157" s="52" t="s">
        <v>785</v>
      </c>
      <c r="H157" s="16" t="s">
        <v>25</v>
      </c>
      <c r="I157" s="29">
        <v>1983</v>
      </c>
      <c r="J157" s="29" t="s">
        <v>139</v>
      </c>
      <c r="K157" s="52" t="s">
        <v>91</v>
      </c>
    </row>
    <row r="158" spans="1:11">
      <c r="A158" s="33">
        <v>156</v>
      </c>
      <c r="B158" s="16" t="s">
        <v>784</v>
      </c>
      <c r="C158" s="52" t="s">
        <v>690</v>
      </c>
      <c r="D158" t="str">
        <f>"9040108"</f>
        <v>9040108</v>
      </c>
      <c r="E158" s="52" t="s">
        <v>467</v>
      </c>
      <c r="F158" s="16" t="s">
        <v>25</v>
      </c>
      <c r="G158" s="52" t="s">
        <v>785</v>
      </c>
      <c r="H158" s="16" t="s">
        <v>25</v>
      </c>
      <c r="I158" s="29">
        <v>1995</v>
      </c>
      <c r="J158" s="29" t="s">
        <v>139</v>
      </c>
      <c r="K158" s="52" t="s">
        <v>91</v>
      </c>
    </row>
    <row r="159" spans="1:11">
      <c r="A159" s="33">
        <v>157</v>
      </c>
      <c r="B159" s="16" t="s">
        <v>784</v>
      </c>
      <c r="C159" s="52" t="s">
        <v>691</v>
      </c>
      <c r="D159" t="str">
        <f>"9040111"</f>
        <v>9040111</v>
      </c>
      <c r="E159" s="52" t="s">
        <v>467</v>
      </c>
      <c r="F159" s="16" t="s">
        <v>25</v>
      </c>
      <c r="G159" s="52" t="s">
        <v>785</v>
      </c>
      <c r="H159" s="16" t="s">
        <v>791</v>
      </c>
      <c r="I159" s="29">
        <v>1954</v>
      </c>
      <c r="J159" s="91" t="s">
        <v>789</v>
      </c>
      <c r="K159" s="52" t="s">
        <v>91</v>
      </c>
    </row>
    <row r="160" spans="1:11">
      <c r="A160" s="33">
        <v>158</v>
      </c>
      <c r="B160" s="16" t="s">
        <v>784</v>
      </c>
      <c r="C160" s="52" t="s">
        <v>695</v>
      </c>
      <c r="D160" s="116" t="str">
        <f>"9041000"</f>
        <v>9041000</v>
      </c>
      <c r="E160" s="52" t="s">
        <v>467</v>
      </c>
      <c r="F160" s="16" t="s">
        <v>25</v>
      </c>
      <c r="G160" s="52" t="s">
        <v>785</v>
      </c>
      <c r="H160" s="16" t="s">
        <v>795</v>
      </c>
      <c r="I160" s="29">
        <v>1972</v>
      </c>
      <c r="J160" s="91" t="s">
        <v>789</v>
      </c>
      <c r="K160" s="52" t="s">
        <v>91</v>
      </c>
    </row>
    <row r="161" spans="1:11">
      <c r="A161" s="33">
        <v>159</v>
      </c>
      <c r="B161" s="16" t="s">
        <v>784</v>
      </c>
      <c r="C161" s="52" t="s">
        <v>697</v>
      </c>
      <c r="D161" t="str">
        <f>"9040120"</f>
        <v>9040120</v>
      </c>
      <c r="E161" s="52" t="s">
        <v>467</v>
      </c>
      <c r="F161" s="16" t="s">
        <v>25</v>
      </c>
      <c r="G161" s="52" t="s">
        <v>785</v>
      </c>
      <c r="H161" s="16" t="s">
        <v>797</v>
      </c>
      <c r="I161" s="29">
        <v>1950</v>
      </c>
      <c r="J161" s="91" t="s">
        <v>789</v>
      </c>
      <c r="K161" s="52" t="s">
        <v>91</v>
      </c>
    </row>
    <row r="162" spans="1:11">
      <c r="A162" s="33">
        <v>160</v>
      </c>
      <c r="B162" s="16" t="s">
        <v>784</v>
      </c>
      <c r="C162" s="52" t="s">
        <v>698</v>
      </c>
      <c r="D162" t="str">
        <f>"9040122"</f>
        <v>9040122</v>
      </c>
      <c r="E162" s="52" t="s">
        <v>467</v>
      </c>
      <c r="F162" s="16" t="s">
        <v>25</v>
      </c>
      <c r="G162" s="52" t="s">
        <v>785</v>
      </c>
      <c r="H162" s="16" t="s">
        <v>805</v>
      </c>
      <c r="I162" s="29">
        <v>1950</v>
      </c>
      <c r="J162" s="91" t="s">
        <v>789</v>
      </c>
      <c r="K162" s="52" t="s">
        <v>91</v>
      </c>
    </row>
    <row r="163" spans="1:11">
      <c r="A163" s="33">
        <v>161</v>
      </c>
      <c r="B163" s="16" t="s">
        <v>784</v>
      </c>
      <c r="C163" s="52" t="s">
        <v>700</v>
      </c>
      <c r="D163" s="116" t="str">
        <f>"9040124"</f>
        <v>9040124</v>
      </c>
      <c r="E163" s="52" t="s">
        <v>467</v>
      </c>
      <c r="F163" s="16" t="s">
        <v>25</v>
      </c>
      <c r="G163" s="52" t="s">
        <v>785</v>
      </c>
      <c r="H163" s="16" t="s">
        <v>52</v>
      </c>
      <c r="I163" s="29">
        <v>1973</v>
      </c>
      <c r="J163" s="29" t="s">
        <v>139</v>
      </c>
      <c r="K163" s="52" t="s">
        <v>91</v>
      </c>
    </row>
    <row r="164" spans="1:11">
      <c r="A164" s="33">
        <v>162</v>
      </c>
      <c r="B164" s="16" t="s">
        <v>784</v>
      </c>
      <c r="C164" s="52" t="s">
        <v>702</v>
      </c>
      <c r="D164" t="str">
        <f>"9040129"</f>
        <v>9040129</v>
      </c>
      <c r="E164" s="52" t="s">
        <v>467</v>
      </c>
      <c r="F164" s="16" t="s">
        <v>25</v>
      </c>
      <c r="G164" s="52" t="s">
        <v>785</v>
      </c>
      <c r="H164" s="16" t="s">
        <v>798</v>
      </c>
      <c r="I164" s="91"/>
      <c r="J164" s="91" t="s">
        <v>789</v>
      </c>
      <c r="K164" s="52" t="s">
        <v>91</v>
      </c>
    </row>
    <row r="165" spans="1:11">
      <c r="A165" s="33">
        <v>163</v>
      </c>
      <c r="B165" s="16" t="s">
        <v>784</v>
      </c>
      <c r="C165" s="52" t="s">
        <v>704</v>
      </c>
      <c r="D165" t="str">
        <f>"9040131"</f>
        <v>9040131</v>
      </c>
      <c r="E165" s="52" t="s">
        <v>467</v>
      </c>
      <c r="F165" s="16" t="s">
        <v>25</v>
      </c>
      <c r="G165" s="52" t="s">
        <v>785</v>
      </c>
      <c r="H165" s="16" t="s">
        <v>799</v>
      </c>
      <c r="I165" s="91"/>
      <c r="J165" s="91" t="s">
        <v>789</v>
      </c>
      <c r="K165" s="52" t="s">
        <v>91</v>
      </c>
    </row>
    <row r="166" spans="1:11">
      <c r="A166" s="33">
        <v>164</v>
      </c>
      <c r="B166" s="16" t="s">
        <v>784</v>
      </c>
      <c r="C166" s="52" t="s">
        <v>705</v>
      </c>
      <c r="D166" t="str">
        <f>"9040138"</f>
        <v>9040138</v>
      </c>
      <c r="E166" s="52" t="s">
        <v>467</v>
      </c>
      <c r="F166" s="16" t="s">
        <v>25</v>
      </c>
      <c r="G166" s="52" t="s">
        <v>785</v>
      </c>
      <c r="H166" s="16" t="s">
        <v>800</v>
      </c>
      <c r="I166" s="91"/>
      <c r="J166" s="91" t="s">
        <v>789</v>
      </c>
      <c r="K166" s="52" t="s">
        <v>91</v>
      </c>
    </row>
    <row r="167" spans="1:11">
      <c r="A167" s="33">
        <v>165</v>
      </c>
      <c r="B167" s="16" t="s">
        <v>784</v>
      </c>
      <c r="C167" s="52" t="s">
        <v>706</v>
      </c>
      <c r="D167" s="116" t="str">
        <f>"9040224"</f>
        <v>9040224</v>
      </c>
      <c r="E167" s="52" t="s">
        <v>467</v>
      </c>
      <c r="F167" s="16" t="s">
        <v>25</v>
      </c>
      <c r="G167" s="52" t="s">
        <v>785</v>
      </c>
      <c r="H167" s="16" t="s">
        <v>236</v>
      </c>
      <c r="I167" s="29">
        <v>1977</v>
      </c>
      <c r="J167" s="91" t="s">
        <v>789</v>
      </c>
      <c r="K167" s="52" t="s">
        <v>91</v>
      </c>
    </row>
    <row r="168" spans="1:11">
      <c r="A168" s="33">
        <v>166</v>
      </c>
      <c r="B168" s="16" t="s">
        <v>784</v>
      </c>
      <c r="C168" s="52" t="s">
        <v>707</v>
      </c>
      <c r="D168" t="str">
        <f>"9040146"</f>
        <v>9040146</v>
      </c>
      <c r="E168" s="52" t="s">
        <v>467</v>
      </c>
      <c r="F168" s="16" t="s">
        <v>25</v>
      </c>
      <c r="G168" s="52" t="s">
        <v>785</v>
      </c>
      <c r="H168" s="16" t="s">
        <v>801</v>
      </c>
      <c r="I168" s="29">
        <v>1958</v>
      </c>
      <c r="J168" s="91" t="s">
        <v>789</v>
      </c>
      <c r="K168" s="52" t="s">
        <v>91</v>
      </c>
    </row>
    <row r="169" spans="1:11">
      <c r="A169" s="33">
        <v>167</v>
      </c>
      <c r="B169" s="16" t="s">
        <v>784</v>
      </c>
      <c r="C169" s="52" t="s">
        <v>708</v>
      </c>
      <c r="D169" t="str">
        <f>"9040149"</f>
        <v>9040149</v>
      </c>
      <c r="E169" s="52" t="s">
        <v>467</v>
      </c>
      <c r="F169" s="16" t="s">
        <v>25</v>
      </c>
      <c r="G169" s="52" t="s">
        <v>785</v>
      </c>
      <c r="H169" s="16" t="s">
        <v>802</v>
      </c>
      <c r="I169" s="91"/>
      <c r="J169" s="91" t="s">
        <v>789</v>
      </c>
      <c r="K169" s="52" t="s">
        <v>91</v>
      </c>
    </row>
    <row r="170" spans="1:11">
      <c r="A170" s="33">
        <v>168</v>
      </c>
      <c r="B170" s="16" t="s">
        <v>784</v>
      </c>
      <c r="C170" s="52" t="s">
        <v>709</v>
      </c>
      <c r="D170" t="str">
        <f>"9040150"</f>
        <v>9040150</v>
      </c>
      <c r="E170" s="52" t="s">
        <v>467</v>
      </c>
      <c r="F170" s="16" t="s">
        <v>25</v>
      </c>
      <c r="G170" s="52" t="s">
        <v>785</v>
      </c>
      <c r="H170" s="16" t="s">
        <v>803</v>
      </c>
      <c r="I170" s="29">
        <v>1954</v>
      </c>
      <c r="J170" s="91" t="s">
        <v>789</v>
      </c>
      <c r="K170" s="52" t="s">
        <v>91</v>
      </c>
    </row>
    <row r="171" spans="1:11">
      <c r="A171" s="33">
        <v>169</v>
      </c>
      <c r="B171" s="16" t="s">
        <v>784</v>
      </c>
      <c r="C171" s="52" t="s">
        <v>710</v>
      </c>
      <c r="D171" t="str">
        <f>"9040050"</f>
        <v>9040050</v>
      </c>
      <c r="E171" s="52" t="s">
        <v>467</v>
      </c>
      <c r="F171" s="16" t="s">
        <v>25</v>
      </c>
      <c r="G171" s="52" t="s">
        <v>785</v>
      </c>
      <c r="H171" s="16" t="s">
        <v>804</v>
      </c>
      <c r="I171" s="29">
        <v>1935</v>
      </c>
      <c r="J171" s="91" t="s">
        <v>789</v>
      </c>
      <c r="K171" s="52" t="s">
        <v>91</v>
      </c>
    </row>
    <row r="172" spans="1:11">
      <c r="A172" s="33">
        <v>170</v>
      </c>
      <c r="B172" s="16" t="s">
        <v>784</v>
      </c>
      <c r="C172" s="52" t="s">
        <v>711</v>
      </c>
      <c r="D172" t="str">
        <f>"9040163"</f>
        <v>9040163</v>
      </c>
      <c r="E172" s="52" t="s">
        <v>467</v>
      </c>
      <c r="F172" s="16" t="s">
        <v>25</v>
      </c>
      <c r="G172" s="52" t="s">
        <v>785</v>
      </c>
      <c r="H172" s="16" t="s">
        <v>803</v>
      </c>
      <c r="I172" s="29">
        <v>1949</v>
      </c>
      <c r="J172" s="91" t="s">
        <v>789</v>
      </c>
      <c r="K172" s="52" t="s">
        <v>91</v>
      </c>
    </row>
    <row r="173" spans="1:11">
      <c r="A173" s="33">
        <v>171</v>
      </c>
      <c r="B173" s="16" t="s">
        <v>784</v>
      </c>
      <c r="C173" s="52" t="s">
        <v>714</v>
      </c>
      <c r="D173" t="str">
        <f>"9040167"</f>
        <v>9040167</v>
      </c>
      <c r="E173" s="52" t="s">
        <v>467</v>
      </c>
      <c r="F173" s="16" t="s">
        <v>25</v>
      </c>
      <c r="G173" s="52" t="s">
        <v>785</v>
      </c>
      <c r="H173" s="16" t="s">
        <v>59</v>
      </c>
      <c r="I173" s="91"/>
      <c r="J173" s="91" t="s">
        <v>789</v>
      </c>
      <c r="K173" s="52" t="s">
        <v>91</v>
      </c>
    </row>
    <row r="174" spans="1:11">
      <c r="A174" s="33">
        <v>172</v>
      </c>
      <c r="B174" s="16" t="s">
        <v>784</v>
      </c>
      <c r="C174" s="52" t="s">
        <v>716</v>
      </c>
      <c r="D174" t="str">
        <f>"9040060"</f>
        <v>9040060</v>
      </c>
      <c r="E174" s="52" t="s">
        <v>467</v>
      </c>
      <c r="F174" s="16" t="s">
        <v>25</v>
      </c>
      <c r="G174" s="52" t="s">
        <v>785</v>
      </c>
      <c r="H174" s="16" t="s">
        <v>809</v>
      </c>
      <c r="I174" s="29">
        <v>1980</v>
      </c>
      <c r="J174" s="29" t="s">
        <v>139</v>
      </c>
      <c r="K174" s="52" t="s">
        <v>91</v>
      </c>
    </row>
    <row r="175" spans="1:11">
      <c r="A175" s="33">
        <v>173</v>
      </c>
      <c r="B175" s="16" t="s">
        <v>784</v>
      </c>
      <c r="C175" s="52" t="s">
        <v>729</v>
      </c>
      <c r="D175" s="116" t="str">
        <f>"9040184"</f>
        <v>9040184</v>
      </c>
      <c r="E175" s="52" t="s">
        <v>467</v>
      </c>
      <c r="F175" s="16" t="s">
        <v>25</v>
      </c>
      <c r="G175" s="52" t="s">
        <v>785</v>
      </c>
      <c r="H175" s="16" t="s">
        <v>818</v>
      </c>
      <c r="I175" s="29">
        <v>1950</v>
      </c>
      <c r="J175" s="91" t="s">
        <v>789</v>
      </c>
      <c r="K175" s="52" t="s">
        <v>91</v>
      </c>
    </row>
    <row r="176" spans="1:11">
      <c r="A176" s="33">
        <v>174</v>
      </c>
      <c r="B176" s="16" t="s">
        <v>784</v>
      </c>
      <c r="C176" s="52" t="s">
        <v>731</v>
      </c>
      <c r="D176" s="116" t="str">
        <f>"9040187"</f>
        <v>9040187</v>
      </c>
      <c r="E176" s="52" t="s">
        <v>467</v>
      </c>
      <c r="F176" s="16" t="s">
        <v>25</v>
      </c>
      <c r="G176" s="52" t="s">
        <v>785</v>
      </c>
      <c r="H176" s="16" t="s">
        <v>820</v>
      </c>
      <c r="I176" s="91"/>
      <c r="J176" s="91" t="s">
        <v>789</v>
      </c>
      <c r="K176" s="52" t="s">
        <v>91</v>
      </c>
    </row>
    <row r="177" spans="1:11">
      <c r="A177" s="33">
        <v>175</v>
      </c>
      <c r="B177" s="16" t="s">
        <v>784</v>
      </c>
      <c r="C177" s="52" t="s">
        <v>732</v>
      </c>
      <c r="D177" t="str">
        <f>"9040176"</f>
        <v>9040176</v>
      </c>
      <c r="E177" s="52" t="s">
        <v>467</v>
      </c>
      <c r="F177" s="16" t="s">
        <v>25</v>
      </c>
      <c r="G177" s="52" t="s">
        <v>785</v>
      </c>
      <c r="H177" s="16" t="s">
        <v>821</v>
      </c>
      <c r="I177" s="29">
        <v>1929</v>
      </c>
      <c r="J177" s="91" t="s">
        <v>789</v>
      </c>
      <c r="K177" s="52" t="s">
        <v>91</v>
      </c>
    </row>
    <row r="178" spans="1:11">
      <c r="A178" s="33">
        <v>176</v>
      </c>
      <c r="B178" s="16" t="s">
        <v>784</v>
      </c>
      <c r="C178" s="52" t="s">
        <v>735</v>
      </c>
      <c r="D178" s="116" t="str">
        <f>"9040195"</f>
        <v>9040195</v>
      </c>
      <c r="E178" s="52" t="s">
        <v>467</v>
      </c>
      <c r="F178" s="16" t="s">
        <v>25</v>
      </c>
      <c r="G178" s="52" t="s">
        <v>785</v>
      </c>
      <c r="H178" s="16" t="s">
        <v>825</v>
      </c>
      <c r="I178" s="29">
        <v>1955</v>
      </c>
      <c r="J178" s="91" t="s">
        <v>789</v>
      </c>
      <c r="K178" s="52" t="s">
        <v>91</v>
      </c>
    </row>
    <row r="179" spans="1:11">
      <c r="A179" s="33">
        <v>177</v>
      </c>
      <c r="B179" s="16" t="s">
        <v>784</v>
      </c>
      <c r="C179" s="52" t="s">
        <v>701</v>
      </c>
      <c r="D179" t="str">
        <f>"9040024"</f>
        <v>9040024</v>
      </c>
      <c r="E179" s="52" t="s">
        <v>467</v>
      </c>
      <c r="F179" s="16" t="s">
        <v>25</v>
      </c>
      <c r="G179" s="52" t="s">
        <v>788</v>
      </c>
      <c r="H179" s="16" t="s">
        <v>53</v>
      </c>
      <c r="I179" s="29">
        <v>1972</v>
      </c>
      <c r="J179" s="91" t="s">
        <v>789</v>
      </c>
      <c r="K179" s="52" t="s">
        <v>91</v>
      </c>
    </row>
    <row r="180" spans="1:11">
      <c r="A180" s="33">
        <v>178</v>
      </c>
      <c r="B180" s="16" t="s">
        <v>784</v>
      </c>
      <c r="C180" s="52" t="s">
        <v>719</v>
      </c>
      <c r="D180" t="str">
        <f>"9040074"</f>
        <v>9040074</v>
      </c>
      <c r="E180" s="52" t="s">
        <v>467</v>
      </c>
      <c r="F180" s="16" t="s">
        <v>25</v>
      </c>
      <c r="G180" s="52" t="s">
        <v>788</v>
      </c>
      <c r="H180" s="16" t="s">
        <v>812</v>
      </c>
      <c r="I180" s="29">
        <v>1972</v>
      </c>
      <c r="J180" s="29" t="s">
        <v>139</v>
      </c>
      <c r="K180" s="52" t="s">
        <v>91</v>
      </c>
    </row>
    <row r="181" spans="1:11">
      <c r="A181" s="33">
        <v>179</v>
      </c>
      <c r="B181" s="16" t="s">
        <v>784</v>
      </c>
      <c r="C181" s="52" t="s">
        <v>721</v>
      </c>
      <c r="D181" t="str">
        <f>"9040089"</f>
        <v>9040089</v>
      </c>
      <c r="E181" s="52" t="s">
        <v>467</v>
      </c>
      <c r="F181" s="16" t="s">
        <v>25</v>
      </c>
      <c r="G181" s="52" t="s">
        <v>788</v>
      </c>
      <c r="H181" s="16" t="s">
        <v>814</v>
      </c>
      <c r="I181" s="29">
        <v>1954</v>
      </c>
      <c r="J181" s="91" t="s">
        <v>789</v>
      </c>
      <c r="K181" s="52" t="s">
        <v>91</v>
      </c>
    </row>
    <row r="182" spans="1:11">
      <c r="A182" s="33">
        <v>180</v>
      </c>
      <c r="B182" s="16" t="s">
        <v>784</v>
      </c>
      <c r="C182" s="52" t="s">
        <v>724</v>
      </c>
      <c r="D182" s="116" t="str">
        <f>"9040066"</f>
        <v>9040066</v>
      </c>
      <c r="E182" s="52" t="s">
        <v>467</v>
      </c>
      <c r="F182" s="16" t="s">
        <v>25</v>
      </c>
      <c r="G182" s="52" t="s">
        <v>788</v>
      </c>
      <c r="H182" s="16" t="s">
        <v>815</v>
      </c>
      <c r="I182" s="29">
        <v>1976</v>
      </c>
      <c r="J182" s="91" t="s">
        <v>789</v>
      </c>
      <c r="K182" s="52" t="s">
        <v>91</v>
      </c>
    </row>
    <row r="183" spans="1:11">
      <c r="A183" s="33">
        <v>181</v>
      </c>
      <c r="B183" s="16" t="s">
        <v>784</v>
      </c>
      <c r="C183" s="52" t="s">
        <v>725</v>
      </c>
      <c r="D183" t="str">
        <f>"9040055"</f>
        <v>9040055</v>
      </c>
      <c r="E183" s="52" t="s">
        <v>467</v>
      </c>
      <c r="F183" s="16" t="s">
        <v>25</v>
      </c>
      <c r="G183" s="52" t="s">
        <v>788</v>
      </c>
      <c r="H183" s="16" t="s">
        <v>816</v>
      </c>
      <c r="I183" s="29">
        <v>1962</v>
      </c>
      <c r="J183" s="91" t="s">
        <v>789</v>
      </c>
      <c r="K183" s="52" t="s">
        <v>91</v>
      </c>
    </row>
    <row r="184" spans="1:11">
      <c r="A184" s="33">
        <v>182</v>
      </c>
      <c r="B184" s="16" t="s">
        <v>784</v>
      </c>
      <c r="C184" s="52" t="s">
        <v>727</v>
      </c>
      <c r="D184" s="116" t="str">
        <f>"9040085"</f>
        <v>9040085</v>
      </c>
      <c r="E184" s="52" t="s">
        <v>467</v>
      </c>
      <c r="F184" s="16" t="s">
        <v>25</v>
      </c>
      <c r="G184" s="52" t="s">
        <v>788</v>
      </c>
      <c r="H184" s="16" t="s">
        <v>679</v>
      </c>
      <c r="I184" s="29">
        <v>1949</v>
      </c>
      <c r="J184" s="91" t="s">
        <v>789</v>
      </c>
      <c r="K184" s="52" t="s">
        <v>91</v>
      </c>
    </row>
    <row r="185" spans="1:11">
      <c r="A185" s="33">
        <v>183</v>
      </c>
      <c r="B185" s="16" t="s">
        <v>784</v>
      </c>
      <c r="C185" s="52" t="s">
        <v>728</v>
      </c>
      <c r="D185" t="str">
        <f>"9040029"</f>
        <v>9040029</v>
      </c>
      <c r="E185" s="52" t="s">
        <v>467</v>
      </c>
      <c r="F185" s="16" t="s">
        <v>25</v>
      </c>
      <c r="G185" s="52" t="s">
        <v>788</v>
      </c>
      <c r="H185" s="16" t="s">
        <v>817</v>
      </c>
      <c r="I185" s="91"/>
      <c r="J185" s="91" t="s">
        <v>789</v>
      </c>
      <c r="K185" s="52" t="s">
        <v>91</v>
      </c>
    </row>
    <row r="186" spans="1:11">
      <c r="A186" s="33">
        <v>184</v>
      </c>
      <c r="B186" s="16" t="s">
        <v>784</v>
      </c>
      <c r="C186" s="52" t="s">
        <v>733</v>
      </c>
      <c r="D186" t="str">
        <f>"9040095"</f>
        <v>9040095</v>
      </c>
      <c r="E186" s="52" t="s">
        <v>467</v>
      </c>
      <c r="F186" s="16" t="s">
        <v>25</v>
      </c>
      <c r="G186" s="52" t="s">
        <v>788</v>
      </c>
      <c r="H186" s="16" t="s">
        <v>823</v>
      </c>
      <c r="I186" s="29">
        <v>1952</v>
      </c>
      <c r="J186" s="29" t="s">
        <v>91</v>
      </c>
      <c r="K186" s="52" t="s">
        <v>91</v>
      </c>
    </row>
    <row r="187" spans="1:11">
      <c r="A187" s="33">
        <v>185</v>
      </c>
      <c r="B187" s="16" t="s">
        <v>784</v>
      </c>
      <c r="C187" s="52" t="s">
        <v>694</v>
      </c>
      <c r="D187" s="116" t="str">
        <f>"9041000"</f>
        <v>9041000</v>
      </c>
      <c r="E187" s="52" t="s">
        <v>467</v>
      </c>
      <c r="F187" s="16" t="s">
        <v>25</v>
      </c>
      <c r="G187" s="52" t="s">
        <v>787</v>
      </c>
      <c r="H187" s="16" t="s">
        <v>794</v>
      </c>
      <c r="I187" s="91"/>
      <c r="J187" s="91" t="s">
        <v>789</v>
      </c>
      <c r="K187" s="52" t="s">
        <v>91</v>
      </c>
    </row>
    <row r="188" spans="1:11">
      <c r="A188" s="33">
        <v>186</v>
      </c>
      <c r="B188" s="16" t="s">
        <v>784</v>
      </c>
      <c r="C188" s="52" t="s">
        <v>696</v>
      </c>
      <c r="D188" s="116" t="str">
        <f>"9040118"</f>
        <v>9040118</v>
      </c>
      <c r="E188" s="52" t="s">
        <v>467</v>
      </c>
      <c r="F188" s="16" t="s">
        <v>25</v>
      </c>
      <c r="G188" s="52" t="s">
        <v>787</v>
      </c>
      <c r="H188" s="16" t="s">
        <v>796</v>
      </c>
      <c r="I188" s="91"/>
      <c r="J188" s="91" t="s">
        <v>789</v>
      </c>
      <c r="K188" s="52" t="s">
        <v>91</v>
      </c>
    </row>
    <row r="189" spans="1:11">
      <c r="A189" s="33">
        <v>187</v>
      </c>
      <c r="B189" s="16" t="s">
        <v>784</v>
      </c>
      <c r="C189" s="52" t="s">
        <v>703</v>
      </c>
      <c r="D189" t="str">
        <f>"9040044"</f>
        <v>9040044</v>
      </c>
      <c r="E189" s="52" t="s">
        <v>467</v>
      </c>
      <c r="F189" s="16" t="s">
        <v>25</v>
      </c>
      <c r="G189" s="52" t="s">
        <v>787</v>
      </c>
      <c r="H189" s="16" t="s">
        <v>54</v>
      </c>
      <c r="I189" s="29">
        <v>1950</v>
      </c>
      <c r="J189" s="91" t="s">
        <v>789</v>
      </c>
      <c r="K189" s="52" t="s">
        <v>91</v>
      </c>
    </row>
    <row r="190" spans="1:11">
      <c r="A190" s="33">
        <v>188</v>
      </c>
      <c r="B190" s="16" t="s">
        <v>784</v>
      </c>
      <c r="C190" s="52" t="s">
        <v>715</v>
      </c>
      <c r="D190" t="str">
        <f>"9040197"</f>
        <v>9040197</v>
      </c>
      <c r="E190" s="52" t="s">
        <v>467</v>
      </c>
      <c r="F190" s="16" t="s">
        <v>25</v>
      </c>
      <c r="G190" s="52" t="s">
        <v>787</v>
      </c>
      <c r="H190" s="16" t="s">
        <v>808</v>
      </c>
      <c r="I190" s="29">
        <v>1927</v>
      </c>
      <c r="J190" s="91" t="s">
        <v>789</v>
      </c>
      <c r="K190" s="52" t="s">
        <v>91</v>
      </c>
    </row>
    <row r="191" spans="1:11">
      <c r="A191" s="33">
        <v>189</v>
      </c>
      <c r="B191" s="16" t="s">
        <v>784</v>
      </c>
      <c r="C191" s="52" t="s">
        <v>720</v>
      </c>
      <c r="D191" s="116" t="str">
        <f>"9040175"</f>
        <v>9040175</v>
      </c>
      <c r="E191" s="52" t="s">
        <v>467</v>
      </c>
      <c r="F191" s="16" t="s">
        <v>25</v>
      </c>
      <c r="G191" s="52" t="s">
        <v>787</v>
      </c>
      <c r="H191" s="16" t="s">
        <v>813</v>
      </c>
      <c r="I191" s="29">
        <v>1955</v>
      </c>
      <c r="J191" s="91" t="s">
        <v>789</v>
      </c>
      <c r="K191" s="52" t="s">
        <v>91</v>
      </c>
    </row>
    <row r="192" spans="1:11">
      <c r="A192" s="33">
        <v>190</v>
      </c>
      <c r="B192" s="16" t="s">
        <v>784</v>
      </c>
      <c r="C192" s="52" t="s">
        <v>723</v>
      </c>
      <c r="D192" s="76" t="str">
        <f>"9040078"</f>
        <v>9040078</v>
      </c>
      <c r="E192" s="52" t="s">
        <v>467</v>
      </c>
      <c r="F192" s="16" t="s">
        <v>25</v>
      </c>
      <c r="G192" s="52" t="s">
        <v>787</v>
      </c>
      <c r="H192" s="16" t="s">
        <v>822</v>
      </c>
      <c r="I192" s="29">
        <v>1926</v>
      </c>
      <c r="J192" s="91" t="s">
        <v>789</v>
      </c>
      <c r="K192" s="52" t="s">
        <v>91</v>
      </c>
    </row>
    <row r="193" spans="1:11">
      <c r="A193" s="33">
        <v>191</v>
      </c>
      <c r="B193" s="16" t="s">
        <v>784</v>
      </c>
      <c r="C193" s="52" t="s">
        <v>730</v>
      </c>
      <c r="D193" t="str">
        <f>"9040186"</f>
        <v>9040186</v>
      </c>
      <c r="E193" s="52" t="s">
        <v>467</v>
      </c>
      <c r="F193" s="16" t="s">
        <v>25</v>
      </c>
      <c r="G193" s="52" t="s">
        <v>787</v>
      </c>
      <c r="H193" s="16" t="s">
        <v>819</v>
      </c>
      <c r="I193" s="29">
        <v>1968</v>
      </c>
      <c r="J193" s="91" t="s">
        <v>789</v>
      </c>
      <c r="K193" s="52" t="s">
        <v>91</v>
      </c>
    </row>
    <row r="194" spans="1:11">
      <c r="A194" s="33">
        <v>192</v>
      </c>
      <c r="B194" s="16" t="s">
        <v>784</v>
      </c>
      <c r="C194" s="52" t="s">
        <v>734</v>
      </c>
      <c r="D194" t="str">
        <f>"9040267"</f>
        <v>9040267</v>
      </c>
      <c r="E194" s="52" t="s">
        <v>467</v>
      </c>
      <c r="F194" s="16" t="s">
        <v>25</v>
      </c>
      <c r="G194" s="52" t="s">
        <v>787</v>
      </c>
      <c r="H194" s="16" t="s">
        <v>824</v>
      </c>
      <c r="I194" s="29">
        <v>1950</v>
      </c>
      <c r="J194" s="91" t="s">
        <v>789</v>
      </c>
      <c r="K194" s="52" t="s">
        <v>91</v>
      </c>
    </row>
    <row r="195" spans="1:11">
      <c r="A195" s="33">
        <v>193</v>
      </c>
      <c r="B195" s="16" t="s">
        <v>784</v>
      </c>
      <c r="C195" s="52" t="s">
        <v>692</v>
      </c>
      <c r="D195" s="76" t="str">
        <f>"9040013"</f>
        <v>9040013</v>
      </c>
      <c r="E195" s="52" t="s">
        <v>467</v>
      </c>
      <c r="F195" s="16" t="s">
        <v>25</v>
      </c>
      <c r="G195" s="52" t="s">
        <v>786</v>
      </c>
      <c r="H195" s="16" t="s">
        <v>792</v>
      </c>
      <c r="I195" s="29">
        <v>2007</v>
      </c>
      <c r="J195" s="29" t="s">
        <v>139</v>
      </c>
      <c r="K195" s="52" t="s">
        <v>91</v>
      </c>
    </row>
    <row r="196" spans="1:11">
      <c r="A196" s="33">
        <v>194</v>
      </c>
      <c r="B196" s="16" t="s">
        <v>784</v>
      </c>
      <c r="C196" s="52" t="s">
        <v>693</v>
      </c>
      <c r="D196" t="str">
        <f>"9040081"</f>
        <v>9040081</v>
      </c>
      <c r="E196" s="52" t="s">
        <v>467</v>
      </c>
      <c r="F196" s="16" t="s">
        <v>25</v>
      </c>
      <c r="G196" s="52" t="s">
        <v>786</v>
      </c>
      <c r="H196" s="16" t="s">
        <v>793</v>
      </c>
      <c r="I196" s="29">
        <v>1990</v>
      </c>
      <c r="J196" s="29" t="s">
        <v>139</v>
      </c>
      <c r="K196" s="52" t="s">
        <v>91</v>
      </c>
    </row>
    <row r="197" spans="1:11">
      <c r="A197" s="33">
        <v>195</v>
      </c>
      <c r="B197" s="16" t="s">
        <v>784</v>
      </c>
      <c r="C197" s="52" t="s">
        <v>699</v>
      </c>
      <c r="D197" s="76" t="str">
        <f>"9040214"</f>
        <v>9040214</v>
      </c>
      <c r="E197" s="52" t="s">
        <v>467</v>
      </c>
      <c r="F197" s="16" t="s">
        <v>25</v>
      </c>
      <c r="G197" s="52" t="s">
        <v>786</v>
      </c>
      <c r="H197" s="16" t="s">
        <v>498</v>
      </c>
      <c r="I197" s="29">
        <v>1987</v>
      </c>
      <c r="J197" s="91" t="s">
        <v>789</v>
      </c>
      <c r="K197" s="52" t="s">
        <v>91</v>
      </c>
    </row>
    <row r="198" spans="1:11">
      <c r="A198" s="33">
        <v>196</v>
      </c>
      <c r="B198" s="16" t="s">
        <v>784</v>
      </c>
      <c r="C198" s="52" t="s">
        <v>712</v>
      </c>
      <c r="D198" t="str">
        <f>"9040057"</f>
        <v>9040057</v>
      </c>
      <c r="E198" s="52" t="s">
        <v>467</v>
      </c>
      <c r="F198" s="16" t="s">
        <v>25</v>
      </c>
      <c r="G198" s="52" t="s">
        <v>786</v>
      </c>
      <c r="H198" s="16" t="s">
        <v>806</v>
      </c>
      <c r="I198" s="29">
        <v>1956</v>
      </c>
      <c r="J198" s="91" t="s">
        <v>789</v>
      </c>
      <c r="K198" s="52" t="s">
        <v>91</v>
      </c>
    </row>
    <row r="199" spans="1:11">
      <c r="A199" s="33">
        <v>197</v>
      </c>
      <c r="B199" s="16" t="s">
        <v>784</v>
      </c>
      <c r="C199" s="52" t="s">
        <v>713</v>
      </c>
      <c r="D199" t="str">
        <f>"9040059"</f>
        <v>9040059</v>
      </c>
      <c r="E199" s="52" t="s">
        <v>467</v>
      </c>
      <c r="F199" s="16" t="s">
        <v>25</v>
      </c>
      <c r="G199" s="52" t="s">
        <v>786</v>
      </c>
      <c r="H199" s="16" t="s">
        <v>807</v>
      </c>
      <c r="I199" s="29">
        <v>1950</v>
      </c>
      <c r="J199" s="91" t="s">
        <v>789</v>
      </c>
      <c r="K199" s="52" t="s">
        <v>91</v>
      </c>
    </row>
    <row r="200" spans="1:11">
      <c r="A200" s="33">
        <v>198</v>
      </c>
      <c r="B200" s="16" t="s">
        <v>784</v>
      </c>
      <c r="C200" s="52" t="s">
        <v>717</v>
      </c>
      <c r="D200" t="str">
        <f>"9040063"</f>
        <v>9040063</v>
      </c>
      <c r="E200" s="52" t="s">
        <v>467</v>
      </c>
      <c r="F200" s="16" t="s">
        <v>25</v>
      </c>
      <c r="G200" s="52" t="s">
        <v>786</v>
      </c>
      <c r="H200" s="16" t="s">
        <v>810</v>
      </c>
      <c r="I200" s="29">
        <v>1952</v>
      </c>
      <c r="J200" s="91" t="s">
        <v>789</v>
      </c>
      <c r="K200" s="52" t="s">
        <v>91</v>
      </c>
    </row>
    <row r="201" spans="1:11">
      <c r="A201" s="33">
        <v>199</v>
      </c>
      <c r="B201" s="16" t="s">
        <v>784</v>
      </c>
      <c r="C201" s="52" t="s">
        <v>718</v>
      </c>
      <c r="D201" t="str">
        <f>"9040070"</f>
        <v>9040070</v>
      </c>
      <c r="E201" s="52" t="s">
        <v>467</v>
      </c>
      <c r="F201" s="16" t="s">
        <v>25</v>
      </c>
      <c r="G201" s="52" t="s">
        <v>786</v>
      </c>
      <c r="H201" s="16" t="s">
        <v>811</v>
      </c>
      <c r="I201" s="29">
        <v>1959</v>
      </c>
      <c r="J201" s="91" t="s">
        <v>789</v>
      </c>
      <c r="K201" s="52" t="s">
        <v>91</v>
      </c>
    </row>
    <row r="202" spans="1:11">
      <c r="A202" s="33">
        <v>200</v>
      </c>
      <c r="B202" s="16" t="s">
        <v>784</v>
      </c>
      <c r="C202" s="52" t="s">
        <v>722</v>
      </c>
      <c r="D202" t="str">
        <f>"9040076"</f>
        <v>9040076</v>
      </c>
      <c r="E202" s="52" t="s">
        <v>467</v>
      </c>
      <c r="F202" s="16" t="s">
        <v>25</v>
      </c>
      <c r="G202" s="52" t="s">
        <v>786</v>
      </c>
      <c r="H202" s="16" t="s">
        <v>55</v>
      </c>
      <c r="I202" s="29">
        <v>1972</v>
      </c>
      <c r="J202" s="91" t="s">
        <v>789</v>
      </c>
      <c r="K202" s="52" t="s">
        <v>91</v>
      </c>
    </row>
    <row r="203" spans="1:11">
      <c r="A203" s="33">
        <v>201</v>
      </c>
      <c r="B203" s="16" t="s">
        <v>784</v>
      </c>
      <c r="C203" s="52" t="s">
        <v>726</v>
      </c>
      <c r="D203" s="76" t="str">
        <f>"9040083"</f>
        <v>9040083</v>
      </c>
      <c r="E203" s="52" t="s">
        <v>467</v>
      </c>
      <c r="F203" s="16" t="s">
        <v>25</v>
      </c>
      <c r="G203" s="52" t="s">
        <v>786</v>
      </c>
      <c r="H203" s="16" t="s">
        <v>56</v>
      </c>
      <c r="I203" s="29">
        <v>1904</v>
      </c>
      <c r="J203" s="29" t="s">
        <v>139</v>
      </c>
      <c r="K203" s="52" t="s">
        <v>91</v>
      </c>
    </row>
    <row r="204" spans="1:11">
      <c r="A204" s="33">
        <v>202</v>
      </c>
      <c r="B204" s="16" t="s">
        <v>784</v>
      </c>
      <c r="C204" s="52" t="s">
        <v>736</v>
      </c>
      <c r="D204" t="str">
        <f>"9040003"</f>
        <v>9040003</v>
      </c>
      <c r="E204" s="52" t="s">
        <v>468</v>
      </c>
      <c r="F204" s="16" t="s">
        <v>25</v>
      </c>
      <c r="G204" s="52" t="s">
        <v>785</v>
      </c>
      <c r="H204" s="16" t="s">
        <v>25</v>
      </c>
      <c r="I204" s="29">
        <v>1378</v>
      </c>
      <c r="J204" s="29" t="s">
        <v>139</v>
      </c>
      <c r="K204" s="52" t="s">
        <v>139</v>
      </c>
    </row>
    <row r="205" spans="1:11">
      <c r="A205" s="33">
        <v>203</v>
      </c>
      <c r="B205" s="16" t="s">
        <v>784</v>
      </c>
      <c r="C205" s="52" t="s">
        <v>737</v>
      </c>
      <c r="D205" t="str">
        <f>"9040242"</f>
        <v>9040242</v>
      </c>
      <c r="E205" s="52" t="s">
        <v>468</v>
      </c>
      <c r="F205" s="16" t="s">
        <v>25</v>
      </c>
      <c r="G205" s="52" t="s">
        <v>785</v>
      </c>
      <c r="H205" s="16" t="s">
        <v>25</v>
      </c>
      <c r="I205" s="29">
        <v>1994</v>
      </c>
      <c r="J205" s="91" t="s">
        <v>789</v>
      </c>
      <c r="K205" s="52" t="s">
        <v>91</v>
      </c>
    </row>
    <row r="206" spans="1:11">
      <c r="A206" s="33">
        <v>204</v>
      </c>
      <c r="B206" s="16" t="s">
        <v>784</v>
      </c>
      <c r="C206" s="52" t="s">
        <v>738</v>
      </c>
      <c r="D206" t="str">
        <f>"9040261"</f>
        <v>9040261</v>
      </c>
      <c r="E206" s="52" t="s">
        <v>468</v>
      </c>
      <c r="F206" s="16" t="s">
        <v>25</v>
      </c>
      <c r="G206" s="52" t="s">
        <v>785</v>
      </c>
      <c r="H206" s="16" t="s">
        <v>25</v>
      </c>
      <c r="I206" s="29">
        <v>2003</v>
      </c>
      <c r="J206" s="29" t="s">
        <v>139</v>
      </c>
      <c r="K206" s="52" t="s">
        <v>91</v>
      </c>
    </row>
    <row r="207" spans="1:11">
      <c r="A207" s="33">
        <v>205</v>
      </c>
      <c r="B207" s="16" t="s">
        <v>784</v>
      </c>
      <c r="C207" s="52" t="s">
        <v>739</v>
      </c>
      <c r="D207" s="116" t="str">
        <f>"9040102"</f>
        <v>9040102</v>
      </c>
      <c r="E207" s="52" t="s">
        <v>468</v>
      </c>
      <c r="F207" s="16" t="s">
        <v>25</v>
      </c>
      <c r="G207" s="52" t="s">
        <v>785</v>
      </c>
      <c r="H207" s="16" t="s">
        <v>25</v>
      </c>
      <c r="I207" s="29">
        <v>1960</v>
      </c>
      <c r="J207" s="29" t="s">
        <v>139</v>
      </c>
      <c r="K207" s="52" t="s">
        <v>139</v>
      </c>
    </row>
    <row r="208" spans="1:11">
      <c r="A208" s="33">
        <v>206</v>
      </c>
      <c r="B208" s="16" t="s">
        <v>784</v>
      </c>
      <c r="C208" s="52" t="s">
        <v>740</v>
      </c>
      <c r="D208" s="116" t="str">
        <f>"9040228"</f>
        <v>9040228</v>
      </c>
      <c r="E208" s="52" t="s">
        <v>468</v>
      </c>
      <c r="F208" s="16" t="s">
        <v>25</v>
      </c>
      <c r="G208" s="52" t="s">
        <v>785</v>
      </c>
      <c r="H208" s="16" t="s">
        <v>795</v>
      </c>
      <c r="I208" s="29">
        <v>1972</v>
      </c>
      <c r="J208" s="91" t="s">
        <v>789</v>
      </c>
      <c r="K208" s="52" t="s">
        <v>91</v>
      </c>
    </row>
    <row r="209" spans="1:11">
      <c r="A209" s="33">
        <v>207</v>
      </c>
      <c r="B209" s="16" t="s">
        <v>784</v>
      </c>
      <c r="C209" s="52" t="s">
        <v>741</v>
      </c>
      <c r="D209" s="76" t="str">
        <f>"9040005"</f>
        <v>9040005</v>
      </c>
      <c r="E209" s="52" t="s">
        <v>468</v>
      </c>
      <c r="F209" s="16" t="s">
        <v>25</v>
      </c>
      <c r="G209" s="52" t="s">
        <v>785</v>
      </c>
      <c r="H209" s="16" t="s">
        <v>25</v>
      </c>
      <c r="I209" s="29">
        <v>1983</v>
      </c>
      <c r="J209" s="29" t="s">
        <v>139</v>
      </c>
      <c r="K209" s="52" t="s">
        <v>91</v>
      </c>
    </row>
    <row r="210" spans="1:11">
      <c r="A210" s="33">
        <v>208</v>
      </c>
      <c r="B210" s="16" t="s">
        <v>784</v>
      </c>
      <c r="C210" s="52" t="s">
        <v>742</v>
      </c>
      <c r="D210" t="str">
        <f>"9040104"</f>
        <v>9040104</v>
      </c>
      <c r="E210" s="52" t="s">
        <v>468</v>
      </c>
      <c r="F210" s="16" t="s">
        <v>25</v>
      </c>
      <c r="G210" s="52" t="s">
        <v>785</v>
      </c>
      <c r="H210" s="16" t="s">
        <v>25</v>
      </c>
      <c r="I210" s="29">
        <v>2014</v>
      </c>
      <c r="J210" s="29" t="s">
        <v>139</v>
      </c>
      <c r="K210" s="52" t="s">
        <v>91</v>
      </c>
    </row>
    <row r="211" spans="1:11">
      <c r="A211" s="33">
        <v>209</v>
      </c>
      <c r="B211" s="16" t="s">
        <v>784</v>
      </c>
      <c r="C211" s="52" t="s">
        <v>743</v>
      </c>
      <c r="D211" s="76" t="str">
        <f>"9040006"</f>
        <v>9040006</v>
      </c>
      <c r="E211" s="52" t="s">
        <v>468</v>
      </c>
      <c r="F211" s="16" t="s">
        <v>25</v>
      </c>
      <c r="G211" s="52" t="s">
        <v>785</v>
      </c>
      <c r="H211" s="16" t="s">
        <v>25</v>
      </c>
      <c r="I211" s="29">
        <v>2002</v>
      </c>
      <c r="J211" s="29" t="s">
        <v>139</v>
      </c>
      <c r="K211" s="52" t="s">
        <v>91</v>
      </c>
    </row>
    <row r="212" spans="1:11">
      <c r="A212" s="33">
        <v>210</v>
      </c>
      <c r="B212" s="16" t="s">
        <v>784</v>
      </c>
      <c r="C212" s="52" t="s">
        <v>744</v>
      </c>
      <c r="D212" t="str">
        <f>"9040211"</f>
        <v>9040211</v>
      </c>
      <c r="E212" s="52" t="s">
        <v>468</v>
      </c>
      <c r="F212" s="16" t="s">
        <v>25</v>
      </c>
      <c r="G212" s="52" t="s">
        <v>785</v>
      </c>
      <c r="H212" s="16" t="s">
        <v>25</v>
      </c>
      <c r="I212" s="29">
        <v>1993</v>
      </c>
      <c r="J212" s="29" t="s">
        <v>139</v>
      </c>
      <c r="K212" s="52" t="s">
        <v>91</v>
      </c>
    </row>
    <row r="213" spans="1:11">
      <c r="A213" s="33">
        <v>211</v>
      </c>
      <c r="B213" s="16" t="s">
        <v>784</v>
      </c>
      <c r="C213" s="52" t="s">
        <v>745</v>
      </c>
      <c r="D213" t="str">
        <f>"9040009"</f>
        <v>9040009</v>
      </c>
      <c r="E213" s="52" t="s">
        <v>468</v>
      </c>
      <c r="F213" s="16" t="s">
        <v>25</v>
      </c>
      <c r="G213" s="52" t="s">
        <v>785</v>
      </c>
      <c r="H213" s="16" t="s">
        <v>25</v>
      </c>
      <c r="I213" s="29">
        <v>2005</v>
      </c>
      <c r="J213" s="29" t="s">
        <v>139</v>
      </c>
      <c r="K213" s="52" t="s">
        <v>139</v>
      </c>
    </row>
    <row r="214" spans="1:11">
      <c r="A214" s="33">
        <v>212</v>
      </c>
      <c r="B214" s="16" t="s">
        <v>784</v>
      </c>
      <c r="C214" s="52" t="s">
        <v>746</v>
      </c>
      <c r="D214" t="str">
        <f>"9040107"</f>
        <v>9040107</v>
      </c>
      <c r="E214" s="52" t="s">
        <v>468</v>
      </c>
      <c r="F214" s="16" t="s">
        <v>25</v>
      </c>
      <c r="G214" s="52" t="s">
        <v>785</v>
      </c>
      <c r="H214" s="16" t="s">
        <v>25</v>
      </c>
      <c r="I214" s="29">
        <v>1953</v>
      </c>
      <c r="J214" s="29" t="s">
        <v>790</v>
      </c>
      <c r="K214" s="52" t="s">
        <v>139</v>
      </c>
    </row>
    <row r="215" spans="1:11">
      <c r="A215" s="33">
        <v>213</v>
      </c>
      <c r="B215" s="16" t="s">
        <v>784</v>
      </c>
      <c r="C215" s="52" t="s">
        <v>747</v>
      </c>
      <c r="D215" s="76" t="str">
        <f>"9040010"</f>
        <v>9040010</v>
      </c>
      <c r="E215" s="52" t="s">
        <v>468</v>
      </c>
      <c r="F215" s="16" t="s">
        <v>25</v>
      </c>
      <c r="G215" s="52" t="s">
        <v>785</v>
      </c>
      <c r="H215" s="16" t="s">
        <v>25</v>
      </c>
      <c r="I215" s="29">
        <v>2003</v>
      </c>
      <c r="J215" s="91" t="s">
        <v>789</v>
      </c>
      <c r="K215" s="52" t="s">
        <v>91</v>
      </c>
    </row>
    <row r="216" spans="1:11">
      <c r="A216" s="33">
        <v>214</v>
      </c>
      <c r="B216" s="16" t="s">
        <v>784</v>
      </c>
      <c r="C216" s="52" t="s">
        <v>748</v>
      </c>
      <c r="D216" t="str">
        <f>"9040109"</f>
        <v>9040109</v>
      </c>
      <c r="E216" s="52" t="s">
        <v>468</v>
      </c>
      <c r="F216" s="16" t="s">
        <v>25</v>
      </c>
      <c r="G216" s="52" t="s">
        <v>785</v>
      </c>
      <c r="H216" s="16" t="s">
        <v>25</v>
      </c>
      <c r="I216" s="91"/>
      <c r="J216" s="91" t="s">
        <v>789</v>
      </c>
      <c r="K216" s="52" t="s">
        <v>91</v>
      </c>
    </row>
    <row r="217" spans="1:11">
      <c r="A217" s="33">
        <v>215</v>
      </c>
      <c r="B217" s="16" t="s">
        <v>784</v>
      </c>
      <c r="C217" s="52" t="s">
        <v>749</v>
      </c>
      <c r="D217" t="str">
        <f>"9040282"</f>
        <v>9040282</v>
      </c>
      <c r="E217" s="52" t="s">
        <v>468</v>
      </c>
      <c r="F217" s="16" t="s">
        <v>25</v>
      </c>
      <c r="G217" s="52" t="s">
        <v>785</v>
      </c>
      <c r="H217" s="16" t="s">
        <v>25</v>
      </c>
      <c r="I217" s="91"/>
      <c r="J217" s="91" t="s">
        <v>139</v>
      </c>
      <c r="K217" s="52" t="s">
        <v>91</v>
      </c>
    </row>
    <row r="218" spans="1:11">
      <c r="A218" s="33">
        <v>216</v>
      </c>
      <c r="B218" s="16" t="s">
        <v>784</v>
      </c>
      <c r="C218" s="52" t="s">
        <v>752</v>
      </c>
      <c r="D218" t="str">
        <f>"9040112"</f>
        <v>9040112</v>
      </c>
      <c r="E218" s="52" t="s">
        <v>468</v>
      </c>
      <c r="F218" s="16" t="s">
        <v>25</v>
      </c>
      <c r="G218" s="52" t="s">
        <v>785</v>
      </c>
      <c r="H218" s="16" t="s">
        <v>791</v>
      </c>
      <c r="I218" s="29">
        <v>1998</v>
      </c>
      <c r="J218" s="91" t="s">
        <v>139</v>
      </c>
      <c r="K218" s="52" t="s">
        <v>91</v>
      </c>
    </row>
    <row r="219" spans="1:11">
      <c r="A219" s="33">
        <v>217</v>
      </c>
      <c r="B219" s="16" t="s">
        <v>784</v>
      </c>
      <c r="C219" s="52" t="s">
        <v>754</v>
      </c>
      <c r="D219" t="str">
        <f>"9040121"</f>
        <v>9040121</v>
      </c>
      <c r="E219" s="52" t="s">
        <v>468</v>
      </c>
      <c r="F219" s="16" t="s">
        <v>25</v>
      </c>
      <c r="G219" s="52" t="s">
        <v>785</v>
      </c>
      <c r="H219" s="16" t="s">
        <v>797</v>
      </c>
      <c r="I219" s="29">
        <v>1950</v>
      </c>
      <c r="J219" s="91" t="s">
        <v>789</v>
      </c>
      <c r="K219" s="52" t="s">
        <v>91</v>
      </c>
    </row>
    <row r="220" spans="1:11">
      <c r="A220" s="33">
        <v>218</v>
      </c>
      <c r="B220" s="16" t="s">
        <v>784</v>
      </c>
      <c r="C220" s="52" t="s">
        <v>756</v>
      </c>
      <c r="D220" t="str">
        <f>"9040123"</f>
        <v>9040123</v>
      </c>
      <c r="E220" s="52" t="s">
        <v>468</v>
      </c>
      <c r="F220" s="16" t="s">
        <v>25</v>
      </c>
      <c r="G220" s="52" t="s">
        <v>785</v>
      </c>
      <c r="H220" s="16" t="s">
        <v>52</v>
      </c>
      <c r="I220" s="29">
        <v>1997</v>
      </c>
      <c r="J220" s="29" t="s">
        <v>139</v>
      </c>
      <c r="K220" s="52" t="s">
        <v>91</v>
      </c>
    </row>
    <row r="221" spans="1:11">
      <c r="A221" s="33">
        <v>219</v>
      </c>
      <c r="B221" s="16" t="s">
        <v>784</v>
      </c>
      <c r="C221" s="52" t="s">
        <v>758</v>
      </c>
      <c r="D221" t="str">
        <f>"9040251"</f>
        <v>9040251</v>
      </c>
      <c r="E221" s="52" t="s">
        <v>468</v>
      </c>
      <c r="F221" s="16" t="s">
        <v>25</v>
      </c>
      <c r="G221" s="52" t="s">
        <v>785</v>
      </c>
      <c r="H221" s="16" t="s">
        <v>799</v>
      </c>
      <c r="I221" s="29">
        <v>1980</v>
      </c>
      <c r="J221" s="29" t="s">
        <v>139</v>
      </c>
      <c r="K221" s="52" t="s">
        <v>91</v>
      </c>
    </row>
    <row r="222" spans="1:11">
      <c r="A222" s="33">
        <v>220</v>
      </c>
      <c r="B222" s="16" t="s">
        <v>784</v>
      </c>
      <c r="C222" s="52" t="s">
        <v>759</v>
      </c>
      <c r="D222" s="116" t="str">
        <f>"9040137"</f>
        <v>9040137</v>
      </c>
      <c r="E222" s="52" t="s">
        <v>468</v>
      </c>
      <c r="F222" s="16" t="s">
        <v>25</v>
      </c>
      <c r="G222" s="52" t="s">
        <v>785</v>
      </c>
      <c r="H222" s="16" t="s">
        <v>800</v>
      </c>
      <c r="I222" s="29">
        <v>1995</v>
      </c>
      <c r="J222" s="91" t="s">
        <v>789</v>
      </c>
      <c r="K222" s="52" t="s">
        <v>139</v>
      </c>
    </row>
    <row r="223" spans="1:11">
      <c r="A223" s="33">
        <v>221</v>
      </c>
      <c r="B223" s="16" t="s">
        <v>784</v>
      </c>
      <c r="C223" s="52" t="s">
        <v>760</v>
      </c>
      <c r="D223" t="str">
        <f>"9040268"</f>
        <v>9040268</v>
      </c>
      <c r="E223" s="52" t="s">
        <v>468</v>
      </c>
      <c r="F223" s="16" t="s">
        <v>25</v>
      </c>
      <c r="G223" s="52" t="s">
        <v>785</v>
      </c>
      <c r="H223" s="16" t="s">
        <v>236</v>
      </c>
      <c r="I223" s="29">
        <v>1997</v>
      </c>
      <c r="J223" s="29" t="s">
        <v>139</v>
      </c>
      <c r="K223" s="52" t="s">
        <v>91</v>
      </c>
    </row>
    <row r="224" spans="1:11">
      <c r="A224" s="33">
        <v>222</v>
      </c>
      <c r="B224" s="16" t="s">
        <v>784</v>
      </c>
      <c r="C224" s="52" t="s">
        <v>761</v>
      </c>
      <c r="D224" s="116" t="str">
        <f>"9040147"</f>
        <v>9040147</v>
      </c>
      <c r="E224" s="52" t="s">
        <v>468</v>
      </c>
      <c r="F224" s="16" t="s">
        <v>25</v>
      </c>
      <c r="G224" s="52" t="s">
        <v>785</v>
      </c>
      <c r="H224" s="16" t="s">
        <v>801</v>
      </c>
      <c r="I224" s="29">
        <v>1958</v>
      </c>
      <c r="J224" s="91" t="s">
        <v>789</v>
      </c>
      <c r="K224" s="52" t="s">
        <v>91</v>
      </c>
    </row>
    <row r="225" spans="1:11">
      <c r="A225" s="33">
        <v>223</v>
      </c>
      <c r="B225" s="16" t="s">
        <v>784</v>
      </c>
      <c r="C225" s="52" t="s">
        <v>762</v>
      </c>
      <c r="D225" t="str">
        <f>"9040148"</f>
        <v>9040148</v>
      </c>
      <c r="E225" s="52" t="s">
        <v>468</v>
      </c>
      <c r="F225" s="16" t="s">
        <v>25</v>
      </c>
      <c r="G225" s="52" t="s">
        <v>785</v>
      </c>
      <c r="H225" s="16" t="s">
        <v>802</v>
      </c>
      <c r="I225" s="91"/>
      <c r="J225" s="91" t="s">
        <v>789</v>
      </c>
      <c r="K225" s="52" t="s">
        <v>91</v>
      </c>
    </row>
    <row r="226" spans="1:11">
      <c r="A226" s="33">
        <v>224</v>
      </c>
      <c r="B226" s="16" t="s">
        <v>784</v>
      </c>
      <c r="C226" s="52" t="s">
        <v>763</v>
      </c>
      <c r="D226" t="str">
        <f>"9040210"</f>
        <v>9040210</v>
      </c>
      <c r="E226" s="52" t="s">
        <v>468</v>
      </c>
      <c r="F226" s="16" t="s">
        <v>25</v>
      </c>
      <c r="G226" s="52" t="s">
        <v>785</v>
      </c>
      <c r="H226" s="16" t="s">
        <v>803</v>
      </c>
      <c r="I226" s="29">
        <v>1996</v>
      </c>
      <c r="J226" s="29" t="s">
        <v>139</v>
      </c>
      <c r="K226" s="52" t="s">
        <v>139</v>
      </c>
    </row>
    <row r="227" spans="1:11">
      <c r="A227" s="33">
        <v>225</v>
      </c>
      <c r="B227" s="16" t="s">
        <v>784</v>
      </c>
      <c r="C227" s="52" t="s">
        <v>764</v>
      </c>
      <c r="D227" s="76" t="str">
        <f>"9040243"</f>
        <v>9040243</v>
      </c>
      <c r="E227" s="52" t="s">
        <v>468</v>
      </c>
      <c r="F227" s="16" t="s">
        <v>25</v>
      </c>
      <c r="G227" s="52" t="s">
        <v>785</v>
      </c>
      <c r="H227" s="16" t="s">
        <v>804</v>
      </c>
      <c r="I227" s="29">
        <v>1990</v>
      </c>
      <c r="J227" s="91" t="s">
        <v>789</v>
      </c>
      <c r="K227" s="52" t="s">
        <v>91</v>
      </c>
    </row>
    <row r="228" spans="1:11">
      <c r="A228" s="33">
        <v>226</v>
      </c>
      <c r="B228" s="16" t="s">
        <v>784</v>
      </c>
      <c r="C228" s="52" t="s">
        <v>767</v>
      </c>
      <c r="D228" t="str">
        <f>"9040270"</f>
        <v>9040270</v>
      </c>
      <c r="E228" s="52" t="s">
        <v>468</v>
      </c>
      <c r="F228" s="16" t="s">
        <v>25</v>
      </c>
      <c r="G228" s="52" t="s">
        <v>785</v>
      </c>
      <c r="H228" s="16" t="s">
        <v>827</v>
      </c>
      <c r="I228" s="91"/>
      <c r="J228" s="91" t="s">
        <v>789</v>
      </c>
      <c r="K228" s="52" t="s">
        <v>91</v>
      </c>
    </row>
    <row r="229" spans="1:11">
      <c r="A229" s="33">
        <v>227</v>
      </c>
      <c r="B229" s="16" t="s">
        <v>784</v>
      </c>
      <c r="C229" s="52" t="s">
        <v>769</v>
      </c>
      <c r="D229" t="str">
        <f>"9040061"</f>
        <v>9040061</v>
      </c>
      <c r="E229" s="52" t="s">
        <v>468</v>
      </c>
      <c r="F229" s="16" t="s">
        <v>25</v>
      </c>
      <c r="G229" s="52" t="s">
        <v>785</v>
      </c>
      <c r="H229" s="16" t="s">
        <v>809</v>
      </c>
      <c r="I229" s="29">
        <v>1983</v>
      </c>
      <c r="J229" s="29" t="s">
        <v>91</v>
      </c>
      <c r="K229" s="52" t="s">
        <v>91</v>
      </c>
    </row>
    <row r="230" spans="1:11">
      <c r="A230" s="33">
        <v>228</v>
      </c>
      <c r="B230" s="16" t="s">
        <v>784</v>
      </c>
      <c r="C230" s="52" t="s">
        <v>777</v>
      </c>
      <c r="D230" t="str">
        <f>"9040209"</f>
        <v>9040209</v>
      </c>
      <c r="E230" s="52" t="s">
        <v>468</v>
      </c>
      <c r="F230" s="16" t="s">
        <v>25</v>
      </c>
      <c r="G230" s="52" t="s">
        <v>785</v>
      </c>
      <c r="H230" s="16" t="s">
        <v>818</v>
      </c>
      <c r="I230" s="91"/>
      <c r="J230" s="91" t="s">
        <v>789</v>
      </c>
      <c r="K230" s="52" t="s">
        <v>91</v>
      </c>
    </row>
    <row r="231" spans="1:11">
      <c r="A231" s="33">
        <v>229</v>
      </c>
      <c r="B231" s="16" t="s">
        <v>784</v>
      </c>
      <c r="C231" s="52" t="s">
        <v>779</v>
      </c>
      <c r="D231" t="str">
        <f>"9040232"</f>
        <v>9040232</v>
      </c>
      <c r="E231" s="52" t="s">
        <v>468</v>
      </c>
      <c r="F231" s="16" t="s">
        <v>25</v>
      </c>
      <c r="G231" s="52" t="s">
        <v>785</v>
      </c>
      <c r="H231" s="16" t="s">
        <v>820</v>
      </c>
      <c r="I231" s="91"/>
      <c r="J231" s="91" t="s">
        <v>789</v>
      </c>
      <c r="K231" s="52" t="s">
        <v>91</v>
      </c>
    </row>
    <row r="232" spans="1:11">
      <c r="A232" s="33">
        <v>230</v>
      </c>
      <c r="B232" s="16" t="s">
        <v>784</v>
      </c>
      <c r="C232" s="52" t="s">
        <v>780</v>
      </c>
      <c r="D232" s="76" t="str">
        <f>"9040237"</f>
        <v>9040237</v>
      </c>
      <c r="E232" s="52" t="s">
        <v>468</v>
      </c>
      <c r="F232" s="16" t="s">
        <v>25</v>
      </c>
      <c r="G232" s="52" t="s">
        <v>785</v>
      </c>
      <c r="H232" s="16" t="s">
        <v>821</v>
      </c>
      <c r="I232" s="29">
        <v>1929</v>
      </c>
      <c r="J232" s="91" t="s">
        <v>789</v>
      </c>
      <c r="K232" s="52" t="s">
        <v>91</v>
      </c>
    </row>
    <row r="233" spans="1:11">
      <c r="A233" s="33">
        <v>231</v>
      </c>
      <c r="B233" s="16" t="s">
        <v>784</v>
      </c>
      <c r="C233" s="52" t="s">
        <v>782</v>
      </c>
      <c r="D233" t="str">
        <f>"9040194"</f>
        <v>9040194</v>
      </c>
      <c r="E233" s="52" t="s">
        <v>468</v>
      </c>
      <c r="F233" s="16" t="s">
        <v>25</v>
      </c>
      <c r="G233" s="52" t="s">
        <v>785</v>
      </c>
      <c r="H233" s="16" t="s">
        <v>825</v>
      </c>
      <c r="I233" s="29">
        <v>1966</v>
      </c>
      <c r="J233" s="29" t="s">
        <v>91</v>
      </c>
      <c r="K233" s="52" t="s">
        <v>91</v>
      </c>
    </row>
    <row r="234" spans="1:11">
      <c r="A234" s="33">
        <v>232</v>
      </c>
      <c r="B234" s="16" t="s">
        <v>784</v>
      </c>
      <c r="C234" s="52" t="s">
        <v>783</v>
      </c>
      <c r="D234" t="str">
        <f>"9040201"</f>
        <v>9040201</v>
      </c>
      <c r="E234" s="52" t="s">
        <v>468</v>
      </c>
      <c r="F234" s="16" t="s">
        <v>25</v>
      </c>
      <c r="G234" s="52" t="s">
        <v>785</v>
      </c>
      <c r="H234" s="16" t="s">
        <v>828</v>
      </c>
      <c r="I234" s="91"/>
      <c r="J234" s="91" t="s">
        <v>789</v>
      </c>
      <c r="K234" s="52" t="s">
        <v>91</v>
      </c>
    </row>
    <row r="235" spans="1:11">
      <c r="A235" s="33">
        <v>233</v>
      </c>
      <c r="B235" s="16" t="s">
        <v>784</v>
      </c>
      <c r="C235" s="52" t="s">
        <v>757</v>
      </c>
      <c r="D235" t="str">
        <f>"9040023"</f>
        <v>9040023</v>
      </c>
      <c r="E235" s="52" t="s">
        <v>468</v>
      </c>
      <c r="F235" s="16" t="s">
        <v>25</v>
      </c>
      <c r="G235" s="52" t="s">
        <v>788</v>
      </c>
      <c r="H235" s="16" t="s">
        <v>53</v>
      </c>
      <c r="I235" s="29">
        <v>2004</v>
      </c>
      <c r="J235" s="91" t="s">
        <v>789</v>
      </c>
      <c r="K235" s="52" t="s">
        <v>139</v>
      </c>
    </row>
    <row r="236" spans="1:11">
      <c r="A236" s="33">
        <v>234</v>
      </c>
      <c r="B236" s="16" t="s">
        <v>784</v>
      </c>
      <c r="C236" s="52" t="s">
        <v>765</v>
      </c>
      <c r="D236" t="str">
        <f>"9040275"</f>
        <v>9040275</v>
      </c>
      <c r="E236" s="52" t="s">
        <v>468</v>
      </c>
      <c r="F236" s="16" t="s">
        <v>25</v>
      </c>
      <c r="G236" s="52" t="s">
        <v>788</v>
      </c>
      <c r="H236" s="16" t="s">
        <v>826</v>
      </c>
      <c r="I236" s="29">
        <v>1962</v>
      </c>
      <c r="J236" s="91" t="s">
        <v>789</v>
      </c>
      <c r="K236" s="52" t="s">
        <v>91</v>
      </c>
    </row>
    <row r="237" spans="1:11">
      <c r="A237" s="33">
        <v>235</v>
      </c>
      <c r="B237" s="16" t="s">
        <v>784</v>
      </c>
      <c r="C237" s="52" t="s">
        <v>770</v>
      </c>
      <c r="D237" s="116" t="str">
        <f>"9040208"</f>
        <v>9040208</v>
      </c>
      <c r="E237" s="52" t="s">
        <v>468</v>
      </c>
      <c r="F237" s="16" t="s">
        <v>25</v>
      </c>
      <c r="G237" s="52" t="s">
        <v>788</v>
      </c>
      <c r="H237" s="16" t="s">
        <v>812</v>
      </c>
      <c r="I237" s="29">
        <v>1972</v>
      </c>
      <c r="J237" s="91" t="s">
        <v>789</v>
      </c>
      <c r="K237" s="52" t="s">
        <v>91</v>
      </c>
    </row>
    <row r="238" spans="1:11">
      <c r="A238" s="33">
        <v>236</v>
      </c>
      <c r="B238" s="16" t="s">
        <v>784</v>
      </c>
      <c r="C238" s="52" t="s">
        <v>773</v>
      </c>
      <c r="D238" s="116" t="str">
        <f>"9040241"</f>
        <v>9040241</v>
      </c>
      <c r="E238" s="52" t="s">
        <v>468</v>
      </c>
      <c r="F238" s="16" t="s">
        <v>25</v>
      </c>
      <c r="G238" s="52" t="s">
        <v>788</v>
      </c>
      <c r="H238" s="16" t="s">
        <v>815</v>
      </c>
      <c r="I238" s="29">
        <v>1976</v>
      </c>
      <c r="J238" s="91" t="s">
        <v>789</v>
      </c>
      <c r="K238" s="52" t="s">
        <v>91</v>
      </c>
    </row>
    <row r="239" spans="1:11">
      <c r="A239" s="33">
        <v>237</v>
      </c>
      <c r="B239" s="16" t="s">
        <v>784</v>
      </c>
      <c r="C239" s="52" t="s">
        <v>775</v>
      </c>
      <c r="D239" s="116" t="str">
        <f>"9040229"</f>
        <v>9040229</v>
      </c>
      <c r="E239" s="52" t="s">
        <v>468</v>
      </c>
      <c r="F239" s="16" t="s">
        <v>25</v>
      </c>
      <c r="G239" s="52" t="s">
        <v>788</v>
      </c>
      <c r="H239" s="16" t="s">
        <v>679</v>
      </c>
      <c r="I239" s="29">
        <v>1950</v>
      </c>
      <c r="J239" s="91" t="s">
        <v>789</v>
      </c>
      <c r="K239" s="52" t="s">
        <v>91</v>
      </c>
    </row>
    <row r="240" spans="1:11">
      <c r="A240" s="33">
        <v>238</v>
      </c>
      <c r="B240" s="16" t="s">
        <v>784</v>
      </c>
      <c r="C240" s="52" t="s">
        <v>776</v>
      </c>
      <c r="D240" t="str">
        <f>"9040277"</f>
        <v>9040277</v>
      </c>
      <c r="E240" s="52" t="s">
        <v>468</v>
      </c>
      <c r="F240" s="16" t="s">
        <v>25</v>
      </c>
      <c r="G240" s="52" t="s">
        <v>788</v>
      </c>
      <c r="H240" s="16" t="s">
        <v>817</v>
      </c>
      <c r="I240" s="29">
        <v>1954</v>
      </c>
      <c r="J240" s="91" t="s">
        <v>789</v>
      </c>
      <c r="K240" s="52" t="s">
        <v>91</v>
      </c>
    </row>
    <row r="241" spans="1:11">
      <c r="A241" s="33">
        <v>239</v>
      </c>
      <c r="B241" s="16" t="s">
        <v>784</v>
      </c>
      <c r="C241" s="52" t="s">
        <v>781</v>
      </c>
      <c r="D241" t="str">
        <f>"9040253"</f>
        <v>9040253</v>
      </c>
      <c r="E241" s="52" t="s">
        <v>468</v>
      </c>
      <c r="F241" s="16" t="s">
        <v>25</v>
      </c>
      <c r="G241" s="52" t="s">
        <v>788</v>
      </c>
      <c r="H241" s="16" t="s">
        <v>823</v>
      </c>
      <c r="I241" s="29">
        <v>1952</v>
      </c>
      <c r="J241" s="91" t="s">
        <v>789</v>
      </c>
      <c r="K241" s="52" t="s">
        <v>91</v>
      </c>
    </row>
    <row r="242" spans="1:11">
      <c r="A242" s="33">
        <v>240</v>
      </c>
      <c r="B242" s="16" t="s">
        <v>784</v>
      </c>
      <c r="C242" s="52" t="s">
        <v>753</v>
      </c>
      <c r="D242" t="str">
        <f>"9040233"</f>
        <v>9040233</v>
      </c>
      <c r="E242" s="52" t="s">
        <v>468</v>
      </c>
      <c r="F242" s="16" t="s">
        <v>25</v>
      </c>
      <c r="G242" s="52" t="s">
        <v>787</v>
      </c>
      <c r="H242" s="16" t="s">
        <v>796</v>
      </c>
      <c r="I242" s="91"/>
      <c r="J242" s="91" t="s">
        <v>789</v>
      </c>
      <c r="K242" s="52" t="s">
        <v>91</v>
      </c>
    </row>
    <row r="243" spans="1:11">
      <c r="A243" s="33">
        <v>241</v>
      </c>
      <c r="B243" s="16" t="s">
        <v>784</v>
      </c>
      <c r="C243" s="52" t="s">
        <v>768</v>
      </c>
      <c r="D243" t="str">
        <f>"9520960"</f>
        <v>9520960</v>
      </c>
      <c r="E243" s="52" t="s">
        <v>468</v>
      </c>
      <c r="F243" s="16" t="s">
        <v>25</v>
      </c>
      <c r="G243" s="52" t="s">
        <v>787</v>
      </c>
      <c r="H243" s="16" t="s">
        <v>808</v>
      </c>
      <c r="I243" s="29">
        <v>1927</v>
      </c>
      <c r="J243" s="91" t="s">
        <v>789</v>
      </c>
      <c r="K243" s="52" t="s">
        <v>91</v>
      </c>
    </row>
    <row r="244" spans="1:11">
      <c r="A244" s="33">
        <v>242</v>
      </c>
      <c r="B244" s="16" t="s">
        <v>784</v>
      </c>
      <c r="C244" s="52" t="s">
        <v>772</v>
      </c>
      <c r="D244" t="str">
        <f>"9040281"</f>
        <v>9040281</v>
      </c>
      <c r="E244" s="52" t="s">
        <v>468</v>
      </c>
      <c r="F244" s="16" t="s">
        <v>25</v>
      </c>
      <c r="G244" s="52" t="s">
        <v>787</v>
      </c>
      <c r="H244" s="16" t="s">
        <v>822</v>
      </c>
      <c r="I244" s="91"/>
      <c r="J244" s="91" t="s">
        <v>789</v>
      </c>
      <c r="K244" s="52" t="s">
        <v>91</v>
      </c>
    </row>
    <row r="245" spans="1:11">
      <c r="A245" s="33">
        <v>243</v>
      </c>
      <c r="B245" s="16" t="s">
        <v>784</v>
      </c>
      <c r="C245" s="52" t="s">
        <v>778</v>
      </c>
      <c r="D245" t="str">
        <f>"9520961"</f>
        <v>9520961</v>
      </c>
      <c r="E245" s="52" t="s">
        <v>468</v>
      </c>
      <c r="F245" s="16" t="s">
        <v>25</v>
      </c>
      <c r="G245" s="52" t="s">
        <v>787</v>
      </c>
      <c r="H245" s="16" t="s">
        <v>819</v>
      </c>
      <c r="I245" s="29">
        <v>1968</v>
      </c>
      <c r="J245" s="91" t="s">
        <v>789</v>
      </c>
      <c r="K245" s="52" t="s">
        <v>91</v>
      </c>
    </row>
    <row r="246" spans="1:11">
      <c r="A246" s="33">
        <v>244</v>
      </c>
      <c r="B246" s="16" t="s">
        <v>784</v>
      </c>
      <c r="C246" s="52" t="s">
        <v>750</v>
      </c>
      <c r="D246" s="116" t="str">
        <f>"9040012"</f>
        <v>9040012</v>
      </c>
      <c r="E246" s="52" t="s">
        <v>468</v>
      </c>
      <c r="F246" s="16" t="s">
        <v>25</v>
      </c>
      <c r="G246" s="52" t="s">
        <v>786</v>
      </c>
      <c r="H246" s="16" t="s">
        <v>25</v>
      </c>
      <c r="I246" s="91"/>
      <c r="J246" s="91" t="s">
        <v>139</v>
      </c>
      <c r="K246" s="52" t="s">
        <v>91</v>
      </c>
    </row>
    <row r="247" spans="1:11">
      <c r="A247" s="33">
        <v>245</v>
      </c>
      <c r="B247" s="16" t="s">
        <v>784</v>
      </c>
      <c r="C247" s="52" t="s">
        <v>751</v>
      </c>
      <c r="D247" t="str">
        <f>"9040225"</f>
        <v>9040225</v>
      </c>
      <c r="E247" s="52" t="s">
        <v>468</v>
      </c>
      <c r="F247" s="16" t="s">
        <v>25</v>
      </c>
      <c r="G247" s="52" t="s">
        <v>786</v>
      </c>
      <c r="H247" s="16" t="s">
        <v>793</v>
      </c>
      <c r="I247" s="29">
        <v>1989</v>
      </c>
      <c r="J247" s="91" t="s">
        <v>139</v>
      </c>
      <c r="K247" s="52" t="s">
        <v>91</v>
      </c>
    </row>
    <row r="248" spans="1:11">
      <c r="A248" s="33">
        <v>246</v>
      </c>
      <c r="B248" s="16" t="s">
        <v>784</v>
      </c>
      <c r="C248" s="52" t="s">
        <v>755</v>
      </c>
      <c r="D248" t="str">
        <f>"9040265"</f>
        <v>9040265</v>
      </c>
      <c r="E248" s="52" t="s">
        <v>468</v>
      </c>
      <c r="F248" s="16" t="s">
        <v>25</v>
      </c>
      <c r="G248" s="52" t="s">
        <v>786</v>
      </c>
      <c r="H248" s="16" t="s">
        <v>498</v>
      </c>
      <c r="I248" s="29">
        <v>1999</v>
      </c>
      <c r="J248" s="29" t="s">
        <v>139</v>
      </c>
      <c r="K248" s="52" t="s">
        <v>91</v>
      </c>
    </row>
    <row r="249" spans="1:11">
      <c r="A249" s="33">
        <v>247</v>
      </c>
      <c r="B249" s="16" t="s">
        <v>784</v>
      </c>
      <c r="C249" s="52" t="s">
        <v>766</v>
      </c>
      <c r="D249" s="116" t="str">
        <f>"9040058"</f>
        <v>9040058</v>
      </c>
      <c r="E249" s="52" t="s">
        <v>468</v>
      </c>
      <c r="F249" s="16" t="s">
        <v>25</v>
      </c>
      <c r="G249" s="52" t="s">
        <v>786</v>
      </c>
      <c r="H249" s="16" t="s">
        <v>59</v>
      </c>
      <c r="I249" s="29">
        <v>1964</v>
      </c>
      <c r="J249" s="91" t="s">
        <v>789</v>
      </c>
      <c r="K249" s="52" t="s">
        <v>91</v>
      </c>
    </row>
    <row r="250" spans="1:11">
      <c r="A250" s="33">
        <v>248</v>
      </c>
      <c r="B250" s="16" t="s">
        <v>784</v>
      </c>
      <c r="C250" s="52" t="s">
        <v>771</v>
      </c>
      <c r="D250" t="str">
        <f>"9040075"</f>
        <v>9040075</v>
      </c>
      <c r="E250" s="52" t="s">
        <v>468</v>
      </c>
      <c r="F250" s="16" t="s">
        <v>25</v>
      </c>
      <c r="G250" s="52" t="s">
        <v>786</v>
      </c>
      <c r="H250" s="16" t="s">
        <v>55</v>
      </c>
      <c r="I250" s="29">
        <v>1972</v>
      </c>
      <c r="J250" s="91" t="s">
        <v>789</v>
      </c>
      <c r="K250" s="52" t="s">
        <v>91</v>
      </c>
    </row>
    <row r="251" spans="1:11">
      <c r="A251" s="33">
        <v>249</v>
      </c>
      <c r="B251" s="16" t="s">
        <v>784</v>
      </c>
      <c r="C251" s="52" t="s">
        <v>774</v>
      </c>
      <c r="D251" t="str">
        <f>"9040084"</f>
        <v>9040084</v>
      </c>
      <c r="E251" s="52" t="s">
        <v>468</v>
      </c>
      <c r="F251" s="16" t="s">
        <v>25</v>
      </c>
      <c r="G251" s="52" t="s">
        <v>786</v>
      </c>
      <c r="H251" s="16" t="s">
        <v>56</v>
      </c>
      <c r="I251" s="29">
        <v>1997</v>
      </c>
      <c r="J251" s="29" t="s">
        <v>139</v>
      </c>
      <c r="K251" s="52" t="s">
        <v>91</v>
      </c>
    </row>
    <row r="252" spans="1:11">
      <c r="A252" s="33">
        <v>250</v>
      </c>
      <c r="B252" s="16" t="s">
        <v>565</v>
      </c>
      <c r="C252" s="52" t="s">
        <v>505</v>
      </c>
      <c r="D252" t="str">
        <f>"9180003"</f>
        <v>9180003</v>
      </c>
      <c r="E252" s="52" t="s">
        <v>467</v>
      </c>
      <c r="F252" s="16" t="s">
        <v>26</v>
      </c>
      <c r="G252" s="52" t="s">
        <v>129</v>
      </c>
      <c r="H252" s="16" t="s">
        <v>129</v>
      </c>
      <c r="I252" s="53">
        <v>1973</v>
      </c>
      <c r="J252" s="53" t="s">
        <v>40</v>
      </c>
      <c r="K252" s="52" t="s">
        <v>91</v>
      </c>
    </row>
    <row r="253" spans="1:11">
      <c r="A253" s="33">
        <v>251</v>
      </c>
      <c r="B253" s="16" t="s">
        <v>565</v>
      </c>
      <c r="C253" s="52" t="s">
        <v>508</v>
      </c>
      <c r="D253" t="str">
        <f>"9180005"</f>
        <v>9180005</v>
      </c>
      <c r="E253" s="52" t="s">
        <v>467</v>
      </c>
      <c r="F253" s="16" t="s">
        <v>26</v>
      </c>
      <c r="G253" s="52" t="s">
        <v>129</v>
      </c>
      <c r="H253" s="16" t="s">
        <v>129</v>
      </c>
      <c r="I253" s="53">
        <v>1972</v>
      </c>
      <c r="J253" s="53" t="s">
        <v>39</v>
      </c>
      <c r="K253" s="52" t="s">
        <v>91</v>
      </c>
    </row>
    <row r="254" spans="1:11">
      <c r="A254" s="33">
        <v>252</v>
      </c>
      <c r="B254" s="16" t="s">
        <v>565</v>
      </c>
      <c r="C254" s="52" t="s">
        <v>511</v>
      </c>
      <c r="D254" t="str">
        <f>"9180205"</f>
        <v>9180205</v>
      </c>
      <c r="E254" s="52" t="s">
        <v>467</v>
      </c>
      <c r="F254" s="16" t="s">
        <v>26</v>
      </c>
      <c r="G254" s="52" t="s">
        <v>129</v>
      </c>
      <c r="H254" s="16" t="s">
        <v>129</v>
      </c>
      <c r="I254" s="53">
        <v>1979</v>
      </c>
      <c r="J254" s="53" t="s">
        <v>40</v>
      </c>
      <c r="K254" s="52" t="s">
        <v>91</v>
      </c>
    </row>
    <row r="255" spans="1:11">
      <c r="A255" s="33">
        <v>253</v>
      </c>
      <c r="B255" s="16" t="s">
        <v>565</v>
      </c>
      <c r="C255" s="52" t="s">
        <v>512</v>
      </c>
      <c r="D255" t="str">
        <f>"9180229"</f>
        <v>9180229</v>
      </c>
      <c r="E255" s="52" t="s">
        <v>467</v>
      </c>
      <c r="F255" s="16" t="s">
        <v>26</v>
      </c>
      <c r="G255" s="52" t="s">
        <v>129</v>
      </c>
      <c r="H255" s="16" t="s">
        <v>129</v>
      </c>
      <c r="I255" s="53">
        <v>1990</v>
      </c>
      <c r="J255" s="53" t="s">
        <v>39</v>
      </c>
      <c r="K255" s="52" t="s">
        <v>91</v>
      </c>
    </row>
    <row r="256" spans="1:11">
      <c r="A256" s="33">
        <v>254</v>
      </c>
      <c r="B256" s="16" t="s">
        <v>565</v>
      </c>
      <c r="C256" s="52" t="s">
        <v>513</v>
      </c>
      <c r="D256" t="str">
        <f>"9521679"</f>
        <v>9521679</v>
      </c>
      <c r="E256" s="52" t="s">
        <v>467</v>
      </c>
      <c r="F256" s="16" t="s">
        <v>26</v>
      </c>
      <c r="G256" s="52" t="s">
        <v>129</v>
      </c>
      <c r="H256" s="16" t="s">
        <v>129</v>
      </c>
      <c r="I256" s="53">
        <v>2009</v>
      </c>
      <c r="J256" s="53" t="s">
        <v>39</v>
      </c>
      <c r="K256" s="52" t="s">
        <v>91</v>
      </c>
    </row>
    <row r="257" spans="1:11">
      <c r="A257" s="33">
        <v>255</v>
      </c>
      <c r="B257" s="16" t="s">
        <v>565</v>
      </c>
      <c r="C257" s="52" t="s">
        <v>515</v>
      </c>
      <c r="D257" t="str">
        <f>"9180049"</f>
        <v>9180049</v>
      </c>
      <c r="E257" s="52" t="s">
        <v>467</v>
      </c>
      <c r="F257" s="16" t="s">
        <v>26</v>
      </c>
      <c r="G257" s="52" t="s">
        <v>129</v>
      </c>
      <c r="H257" s="16" t="s">
        <v>136</v>
      </c>
      <c r="I257" s="53">
        <v>1954</v>
      </c>
      <c r="J257" s="53" t="s">
        <v>40</v>
      </c>
      <c r="K257" s="52" t="s">
        <v>91</v>
      </c>
    </row>
    <row r="258" spans="1:11">
      <c r="A258" s="33">
        <v>256</v>
      </c>
      <c r="B258" s="16" t="s">
        <v>565</v>
      </c>
      <c r="C258" s="52" t="s">
        <v>516</v>
      </c>
      <c r="D258" t="str">
        <f>"9180016"</f>
        <v>9180016</v>
      </c>
      <c r="E258" s="52" t="s">
        <v>467</v>
      </c>
      <c r="F258" s="16" t="s">
        <v>26</v>
      </c>
      <c r="G258" s="52" t="s">
        <v>129</v>
      </c>
      <c r="H258" s="16" t="s">
        <v>568</v>
      </c>
      <c r="I258" s="53">
        <v>1979</v>
      </c>
      <c r="J258" s="53" t="s">
        <v>39</v>
      </c>
      <c r="K258" s="52" t="s">
        <v>91</v>
      </c>
    </row>
    <row r="259" spans="1:11">
      <c r="A259" s="33">
        <v>257</v>
      </c>
      <c r="B259" s="16" t="s">
        <v>565</v>
      </c>
      <c r="C259" s="52" t="s">
        <v>518</v>
      </c>
      <c r="D259" t="str">
        <f>"9180019"</f>
        <v>9180019</v>
      </c>
      <c r="E259" s="52" t="s">
        <v>467</v>
      </c>
      <c r="F259" s="16" t="s">
        <v>26</v>
      </c>
      <c r="G259" s="52" t="s">
        <v>129</v>
      </c>
      <c r="H259" s="16" t="s">
        <v>569</v>
      </c>
      <c r="I259" s="53">
        <v>1959</v>
      </c>
      <c r="J259" s="53" t="s">
        <v>40</v>
      </c>
      <c r="K259" s="52" t="s">
        <v>91</v>
      </c>
    </row>
    <row r="260" spans="1:11">
      <c r="A260" s="33">
        <v>258</v>
      </c>
      <c r="B260" s="16" t="s">
        <v>565</v>
      </c>
      <c r="C260" s="52" t="s">
        <v>520</v>
      </c>
      <c r="D260" s="117"/>
      <c r="E260" s="52" t="s">
        <v>467</v>
      </c>
      <c r="F260" s="16" t="s">
        <v>26</v>
      </c>
      <c r="G260" s="52" t="s">
        <v>129</v>
      </c>
      <c r="H260" s="16" t="s">
        <v>141</v>
      </c>
      <c r="I260" s="53">
        <v>1970</v>
      </c>
      <c r="J260" s="53" t="s">
        <v>40</v>
      </c>
      <c r="K260" s="52" t="s">
        <v>91</v>
      </c>
    </row>
    <row r="261" spans="1:11">
      <c r="A261" s="33">
        <v>259</v>
      </c>
      <c r="B261" s="16" t="s">
        <v>565</v>
      </c>
      <c r="C261" s="52" t="s">
        <v>521</v>
      </c>
      <c r="D261" t="str">
        <f>"9180046"</f>
        <v>9180046</v>
      </c>
      <c r="E261" s="52" t="s">
        <v>467</v>
      </c>
      <c r="F261" s="16" t="s">
        <v>26</v>
      </c>
      <c r="G261" s="52" t="s">
        <v>129</v>
      </c>
      <c r="H261" s="16" t="s">
        <v>133</v>
      </c>
      <c r="I261" s="53">
        <v>1958</v>
      </c>
      <c r="J261" s="53" t="s">
        <v>40</v>
      </c>
      <c r="K261" s="52" t="s">
        <v>91</v>
      </c>
    </row>
    <row r="262" spans="1:11">
      <c r="A262" s="33">
        <v>260</v>
      </c>
      <c r="B262" s="16" t="s">
        <v>565</v>
      </c>
      <c r="C262" s="52" t="s">
        <v>522</v>
      </c>
      <c r="D262" t="str">
        <f>"9180025"</f>
        <v>9180025</v>
      </c>
      <c r="E262" s="52" t="s">
        <v>467</v>
      </c>
      <c r="F262" s="16" t="s">
        <v>26</v>
      </c>
      <c r="G262" s="52" t="s">
        <v>129</v>
      </c>
      <c r="H262" s="16" t="s">
        <v>138</v>
      </c>
      <c r="I262" s="53">
        <v>1985</v>
      </c>
      <c r="J262" s="53" t="s">
        <v>40</v>
      </c>
      <c r="K262" s="52" t="s">
        <v>91</v>
      </c>
    </row>
    <row r="263" spans="1:11">
      <c r="A263" s="33">
        <v>261</v>
      </c>
      <c r="B263" s="16" t="s">
        <v>565</v>
      </c>
      <c r="C263" s="52" t="s">
        <v>524</v>
      </c>
      <c r="D263" t="str">
        <f>"9180123"</f>
        <v>9180123</v>
      </c>
      <c r="E263" s="52" t="s">
        <v>467</v>
      </c>
      <c r="F263" s="16" t="s">
        <v>26</v>
      </c>
      <c r="G263" s="52" t="s">
        <v>129</v>
      </c>
      <c r="H263" s="16" t="s">
        <v>572</v>
      </c>
      <c r="I263" s="53">
        <v>1998</v>
      </c>
      <c r="J263" s="53" t="s">
        <v>39</v>
      </c>
      <c r="K263" s="52" t="s">
        <v>91</v>
      </c>
    </row>
    <row r="264" spans="1:11">
      <c r="A264" s="33">
        <v>262</v>
      </c>
      <c r="B264" s="16" t="s">
        <v>565</v>
      </c>
      <c r="C264" s="52" t="s">
        <v>525</v>
      </c>
      <c r="D264" t="str">
        <f>"9180029"</f>
        <v>9180029</v>
      </c>
      <c r="E264" s="52" t="s">
        <v>467</v>
      </c>
      <c r="F264" s="16" t="s">
        <v>26</v>
      </c>
      <c r="G264" s="52" t="s">
        <v>129</v>
      </c>
      <c r="H264" s="16" t="s">
        <v>137</v>
      </c>
      <c r="I264" s="53">
        <v>2005</v>
      </c>
      <c r="J264" s="53" t="s">
        <v>40</v>
      </c>
      <c r="K264" s="52" t="s">
        <v>91</v>
      </c>
    </row>
    <row r="265" spans="1:11">
      <c r="A265" s="33">
        <v>263</v>
      </c>
      <c r="B265" s="16" t="s">
        <v>565</v>
      </c>
      <c r="C265" s="52" t="s">
        <v>527</v>
      </c>
      <c r="D265" t="str">
        <f>"9180030"</f>
        <v>9180030</v>
      </c>
      <c r="E265" s="52" t="s">
        <v>467</v>
      </c>
      <c r="F265" s="16" t="s">
        <v>26</v>
      </c>
      <c r="G265" s="52" t="s">
        <v>129</v>
      </c>
      <c r="H265" s="16" t="s">
        <v>573</v>
      </c>
      <c r="I265" s="53">
        <v>1954</v>
      </c>
      <c r="J265" s="53" t="s">
        <v>40</v>
      </c>
      <c r="K265" s="52" t="s">
        <v>91</v>
      </c>
    </row>
    <row r="266" spans="1:11">
      <c r="A266" s="33">
        <v>264</v>
      </c>
      <c r="B266" s="16" t="s">
        <v>565</v>
      </c>
      <c r="C266" s="52" t="s">
        <v>528</v>
      </c>
      <c r="D266" t="str">
        <f>"9180250"</f>
        <v>9180250</v>
      </c>
      <c r="E266" s="52" t="s">
        <v>467</v>
      </c>
      <c r="F266" s="16" t="s">
        <v>26</v>
      </c>
      <c r="G266" s="52" t="s">
        <v>129</v>
      </c>
      <c r="H266" s="16" t="s">
        <v>129</v>
      </c>
      <c r="I266" s="69"/>
      <c r="J266" s="53" t="s">
        <v>40</v>
      </c>
      <c r="K266" s="52" t="s">
        <v>91</v>
      </c>
    </row>
    <row r="267" spans="1:11">
      <c r="A267" s="33">
        <v>265</v>
      </c>
      <c r="B267" s="16" t="s">
        <v>565</v>
      </c>
      <c r="C267" s="52" t="s">
        <v>506</v>
      </c>
      <c r="D267" t="str">
        <f>"9180058"</f>
        <v>9180058</v>
      </c>
      <c r="E267" s="52" t="s">
        <v>467</v>
      </c>
      <c r="F267" s="16" t="s">
        <v>26</v>
      </c>
      <c r="G267" s="52" t="s">
        <v>131</v>
      </c>
      <c r="H267" s="16" t="s">
        <v>135</v>
      </c>
      <c r="I267" s="53">
        <v>2009</v>
      </c>
      <c r="J267" s="53" t="s">
        <v>39</v>
      </c>
      <c r="K267" s="52" t="s">
        <v>91</v>
      </c>
    </row>
    <row r="268" spans="1:11">
      <c r="A268" s="33">
        <v>266</v>
      </c>
      <c r="B268" s="16" t="s">
        <v>565</v>
      </c>
      <c r="C268" s="52" t="s">
        <v>510</v>
      </c>
      <c r="D268" t="str">
        <f>"9180132"</f>
        <v>9180132</v>
      </c>
      <c r="E268" s="52" t="s">
        <v>467</v>
      </c>
      <c r="F268" s="16" t="s">
        <v>26</v>
      </c>
      <c r="G268" s="52" t="s">
        <v>131</v>
      </c>
      <c r="H268" s="16" t="s">
        <v>134</v>
      </c>
      <c r="I268" s="53">
        <v>1988</v>
      </c>
      <c r="J268" s="53" t="s">
        <v>39</v>
      </c>
      <c r="K268" s="52" t="s">
        <v>91</v>
      </c>
    </row>
    <row r="269" spans="1:11">
      <c r="A269" s="33">
        <v>267</v>
      </c>
      <c r="B269" s="16" t="s">
        <v>565</v>
      </c>
      <c r="C269" s="52" t="s">
        <v>517</v>
      </c>
      <c r="D269" t="str">
        <f>"9180035"</f>
        <v>9180035</v>
      </c>
      <c r="E269" s="52" t="s">
        <v>467</v>
      </c>
      <c r="F269" s="16" t="s">
        <v>26</v>
      </c>
      <c r="G269" s="52" t="s">
        <v>131</v>
      </c>
      <c r="H269" s="16" t="s">
        <v>567</v>
      </c>
      <c r="I269" s="53">
        <v>1970</v>
      </c>
      <c r="J269" s="53" t="s">
        <v>40</v>
      </c>
      <c r="K269" s="52" t="s">
        <v>91</v>
      </c>
    </row>
    <row r="270" spans="1:11">
      <c r="A270" s="33">
        <v>268</v>
      </c>
      <c r="B270" s="16" t="s">
        <v>565</v>
      </c>
      <c r="C270" s="52" t="s">
        <v>523</v>
      </c>
      <c r="D270" t="str">
        <f>"9180093"</f>
        <v>9180093</v>
      </c>
      <c r="E270" s="52" t="s">
        <v>467</v>
      </c>
      <c r="F270" s="16" t="s">
        <v>26</v>
      </c>
      <c r="G270" s="52" t="s">
        <v>131</v>
      </c>
      <c r="H270" s="16" t="s">
        <v>571</v>
      </c>
      <c r="I270" s="53">
        <v>1980</v>
      </c>
      <c r="J270" s="53" t="s">
        <v>39</v>
      </c>
      <c r="K270" s="52" t="s">
        <v>91</v>
      </c>
    </row>
    <row r="271" spans="1:11">
      <c r="A271" s="33">
        <v>269</v>
      </c>
      <c r="B271" s="16" t="s">
        <v>565</v>
      </c>
      <c r="C271" s="52" t="s">
        <v>526</v>
      </c>
      <c r="D271" t="str">
        <f>"9180069"</f>
        <v>9180069</v>
      </c>
      <c r="E271" s="52" t="s">
        <v>467</v>
      </c>
      <c r="F271" s="16" t="s">
        <v>26</v>
      </c>
      <c r="G271" s="52" t="s">
        <v>131</v>
      </c>
      <c r="H271" s="16" t="s">
        <v>132</v>
      </c>
      <c r="I271" s="53">
        <v>1989</v>
      </c>
      <c r="J271" s="53" t="s">
        <v>39</v>
      </c>
      <c r="K271" s="52" t="s">
        <v>91</v>
      </c>
    </row>
    <row r="272" spans="1:11">
      <c r="A272" s="33">
        <v>270</v>
      </c>
      <c r="B272" s="16" t="s">
        <v>565</v>
      </c>
      <c r="C272" s="52" t="s">
        <v>529</v>
      </c>
      <c r="D272" t="str">
        <f>"9180067"</f>
        <v>9180067</v>
      </c>
      <c r="E272" s="52" t="s">
        <v>467</v>
      </c>
      <c r="F272" s="16" t="s">
        <v>26</v>
      </c>
      <c r="G272" s="52" t="s">
        <v>131</v>
      </c>
      <c r="H272" s="16"/>
      <c r="I272" s="53">
        <v>1984</v>
      </c>
      <c r="J272" s="53" t="s">
        <v>40</v>
      </c>
      <c r="K272" s="52" t="s">
        <v>91</v>
      </c>
    </row>
    <row r="273" spans="1:11">
      <c r="A273" s="33">
        <v>271</v>
      </c>
      <c r="B273" s="16" t="s">
        <v>565</v>
      </c>
      <c r="C273" s="52" t="s">
        <v>507</v>
      </c>
      <c r="D273" t="str">
        <f>"9180136"</f>
        <v>9180136</v>
      </c>
      <c r="E273" s="52" t="s">
        <v>467</v>
      </c>
      <c r="F273" s="16" t="s">
        <v>26</v>
      </c>
      <c r="G273" s="52" t="s">
        <v>130</v>
      </c>
      <c r="H273" s="16" t="s">
        <v>130</v>
      </c>
      <c r="I273" s="53">
        <v>1935</v>
      </c>
      <c r="J273" s="53" t="s">
        <v>39</v>
      </c>
      <c r="K273" s="52" t="s">
        <v>91</v>
      </c>
    </row>
    <row r="274" spans="1:11">
      <c r="A274" s="33">
        <v>272</v>
      </c>
      <c r="B274" s="16" t="s">
        <v>565</v>
      </c>
      <c r="C274" s="52" t="s">
        <v>509</v>
      </c>
      <c r="D274" t="str">
        <f>"9180138"</f>
        <v>9180138</v>
      </c>
      <c r="E274" s="52" t="s">
        <v>467</v>
      </c>
      <c r="F274" s="16" t="s">
        <v>26</v>
      </c>
      <c r="G274" s="52" t="s">
        <v>130</v>
      </c>
      <c r="H274" s="16" t="s">
        <v>130</v>
      </c>
      <c r="I274" s="53">
        <v>1989</v>
      </c>
      <c r="J274" s="53" t="s">
        <v>39</v>
      </c>
      <c r="K274" s="52" t="s">
        <v>91</v>
      </c>
    </row>
    <row r="275" spans="1:11">
      <c r="A275" s="33">
        <v>273</v>
      </c>
      <c r="B275" s="16" t="s">
        <v>565</v>
      </c>
      <c r="C275" s="52" t="s">
        <v>514</v>
      </c>
      <c r="D275" t="str">
        <f>"9180189"</f>
        <v>9180189</v>
      </c>
      <c r="E275" s="52" t="s">
        <v>467</v>
      </c>
      <c r="F275" s="16" t="s">
        <v>26</v>
      </c>
      <c r="G275" s="52" t="s">
        <v>130</v>
      </c>
      <c r="H275" s="16" t="s">
        <v>566</v>
      </c>
      <c r="I275" s="53">
        <v>1959</v>
      </c>
      <c r="J275" s="53" t="s">
        <v>40</v>
      </c>
      <c r="K275" s="52" t="s">
        <v>91</v>
      </c>
    </row>
    <row r="276" spans="1:11">
      <c r="A276" s="33">
        <v>274</v>
      </c>
      <c r="B276" s="16" t="s">
        <v>565</v>
      </c>
      <c r="C276" s="52" t="s">
        <v>519</v>
      </c>
      <c r="D276" t="str">
        <f>"9180167"</f>
        <v>9180167</v>
      </c>
      <c r="E276" s="52" t="s">
        <v>467</v>
      </c>
      <c r="F276" s="16" t="s">
        <v>26</v>
      </c>
      <c r="G276" s="52" t="s">
        <v>130</v>
      </c>
      <c r="H276" s="16" t="s">
        <v>570</v>
      </c>
      <c r="I276" s="69"/>
      <c r="J276" s="53" t="s">
        <v>40</v>
      </c>
      <c r="K276" s="52" t="s">
        <v>91</v>
      </c>
    </row>
    <row r="277" spans="1:11">
      <c r="A277" s="33">
        <v>275</v>
      </c>
      <c r="B277" s="16" t="s">
        <v>565</v>
      </c>
      <c r="C277" s="52" t="s">
        <v>531</v>
      </c>
      <c r="D277" t="str">
        <f>"9180002"</f>
        <v>9180002</v>
      </c>
      <c r="E277" s="52" t="s">
        <v>468</v>
      </c>
      <c r="F277" s="16" t="s">
        <v>26</v>
      </c>
      <c r="G277" s="52" t="s">
        <v>129</v>
      </c>
      <c r="H277" s="16" t="s">
        <v>129</v>
      </c>
      <c r="I277" s="53">
        <v>1990</v>
      </c>
      <c r="J277" s="53" t="s">
        <v>39</v>
      </c>
      <c r="K277" s="52" t="s">
        <v>91</v>
      </c>
    </row>
    <row r="278" spans="1:11">
      <c r="A278" s="33">
        <v>276</v>
      </c>
      <c r="B278" s="16" t="s">
        <v>565</v>
      </c>
      <c r="C278" s="52" t="s">
        <v>533</v>
      </c>
      <c r="D278" t="str">
        <f>"9180017"</f>
        <v>9180017</v>
      </c>
      <c r="E278" s="52" t="s">
        <v>468</v>
      </c>
      <c r="F278" s="16" t="s">
        <v>26</v>
      </c>
      <c r="G278" s="52" t="s">
        <v>129</v>
      </c>
      <c r="H278" s="16" t="s">
        <v>568</v>
      </c>
      <c r="I278" s="53">
        <v>1987</v>
      </c>
      <c r="J278" s="53" t="s">
        <v>39</v>
      </c>
      <c r="K278" s="52" t="s">
        <v>91</v>
      </c>
    </row>
    <row r="279" spans="1:11">
      <c r="A279" s="33">
        <v>277</v>
      </c>
      <c r="B279" s="16" t="s">
        <v>565</v>
      </c>
      <c r="C279" s="52" t="s">
        <v>534</v>
      </c>
      <c r="D279" t="str">
        <f>"9180026"</f>
        <v>9180026</v>
      </c>
      <c r="E279" s="52" t="s">
        <v>468</v>
      </c>
      <c r="F279" s="16" t="s">
        <v>26</v>
      </c>
      <c r="G279" s="52" t="s">
        <v>129</v>
      </c>
      <c r="H279" s="16" t="s">
        <v>138</v>
      </c>
      <c r="I279" s="53">
        <v>1970</v>
      </c>
      <c r="J279" s="53" t="s">
        <v>40</v>
      </c>
      <c r="K279" s="52" t="s">
        <v>91</v>
      </c>
    </row>
    <row r="280" spans="1:11">
      <c r="A280" s="33">
        <v>278</v>
      </c>
      <c r="B280" s="16" t="s">
        <v>565</v>
      </c>
      <c r="C280" s="52" t="s">
        <v>537</v>
      </c>
      <c r="D280" t="str">
        <f>"9180045"</f>
        <v>9180045</v>
      </c>
      <c r="E280" s="52" t="s">
        <v>468</v>
      </c>
      <c r="F280" s="16" t="s">
        <v>26</v>
      </c>
      <c r="G280" s="52" t="s">
        <v>129</v>
      </c>
      <c r="H280" s="16" t="s">
        <v>133</v>
      </c>
      <c r="I280" s="53">
        <v>1989</v>
      </c>
      <c r="J280" s="53" t="s">
        <v>40</v>
      </c>
      <c r="K280" s="52" t="s">
        <v>91</v>
      </c>
    </row>
    <row r="281" spans="1:11">
      <c r="A281" s="33">
        <v>279</v>
      </c>
      <c r="B281" s="16" t="s">
        <v>565</v>
      </c>
      <c r="C281" s="52" t="s">
        <v>538</v>
      </c>
      <c r="D281" t="str">
        <f>"9180028"</f>
        <v>9180028</v>
      </c>
      <c r="E281" s="52" t="s">
        <v>468</v>
      </c>
      <c r="F281" s="16" t="s">
        <v>26</v>
      </c>
      <c r="G281" s="52" t="s">
        <v>129</v>
      </c>
      <c r="H281" s="16" t="s">
        <v>137</v>
      </c>
      <c r="I281" s="53">
        <v>1980</v>
      </c>
      <c r="J281" s="53" t="s">
        <v>40</v>
      </c>
      <c r="K281" s="52" t="s">
        <v>91</v>
      </c>
    </row>
    <row r="282" spans="1:11">
      <c r="A282" s="33">
        <v>280</v>
      </c>
      <c r="B282" s="16" t="s">
        <v>565</v>
      </c>
      <c r="C282" s="52" t="s">
        <v>539</v>
      </c>
      <c r="D282" t="str">
        <f>"9180050"</f>
        <v>9180050</v>
      </c>
      <c r="E282" s="52" t="s">
        <v>468</v>
      </c>
      <c r="F282" s="16" t="s">
        <v>26</v>
      </c>
      <c r="G282" s="52" t="s">
        <v>129</v>
      </c>
      <c r="H282" s="16" t="s">
        <v>136</v>
      </c>
      <c r="I282" s="53">
        <v>1980</v>
      </c>
      <c r="J282" s="53" t="s">
        <v>40</v>
      </c>
      <c r="K282" s="52" t="s">
        <v>91</v>
      </c>
    </row>
    <row r="283" spans="1:11">
      <c r="A283" s="33">
        <v>281</v>
      </c>
      <c r="B283" s="16" t="s">
        <v>565</v>
      </c>
      <c r="C283" s="52" t="s">
        <v>540</v>
      </c>
      <c r="D283" t="str">
        <f>"9180263"</f>
        <v>9180263</v>
      </c>
      <c r="E283" s="52" t="s">
        <v>468</v>
      </c>
      <c r="F283" s="16" t="s">
        <v>26</v>
      </c>
      <c r="G283" s="52" t="s">
        <v>129</v>
      </c>
      <c r="H283" s="16" t="s">
        <v>568</v>
      </c>
      <c r="I283" s="53">
        <v>1996</v>
      </c>
      <c r="J283" s="53" t="s">
        <v>40</v>
      </c>
      <c r="K283" s="52" t="s">
        <v>139</v>
      </c>
    </row>
    <row r="284" spans="1:11">
      <c r="A284" s="33">
        <v>282</v>
      </c>
      <c r="B284" s="16" t="s">
        <v>565</v>
      </c>
      <c r="C284" s="52" t="s">
        <v>541</v>
      </c>
      <c r="D284" t="str">
        <f>"9180004"</f>
        <v>9180004</v>
      </c>
      <c r="E284" s="52" t="s">
        <v>468</v>
      </c>
      <c r="F284" s="16" t="s">
        <v>26</v>
      </c>
      <c r="G284" s="52" t="s">
        <v>129</v>
      </c>
      <c r="H284" s="16" t="s">
        <v>129</v>
      </c>
      <c r="I284" s="53">
        <v>1979</v>
      </c>
      <c r="J284" s="53" t="s">
        <v>39</v>
      </c>
      <c r="K284" s="52" t="s">
        <v>139</v>
      </c>
    </row>
    <row r="285" spans="1:11">
      <c r="A285" s="33">
        <v>283</v>
      </c>
      <c r="B285" s="16" t="s">
        <v>565</v>
      </c>
      <c r="C285" s="52" t="s">
        <v>544</v>
      </c>
      <c r="D285" t="str">
        <f>"9180204"</f>
        <v>9180204</v>
      </c>
      <c r="E285" s="52" t="s">
        <v>468</v>
      </c>
      <c r="F285" s="16" t="s">
        <v>26</v>
      </c>
      <c r="G285" s="52" t="s">
        <v>129</v>
      </c>
      <c r="H285" s="16" t="s">
        <v>129</v>
      </c>
      <c r="I285" s="53">
        <v>2014</v>
      </c>
      <c r="J285" s="53" t="s">
        <v>39</v>
      </c>
      <c r="K285" s="52" t="s">
        <v>91</v>
      </c>
    </row>
    <row r="286" spans="1:11">
      <c r="A286" s="33">
        <v>284</v>
      </c>
      <c r="B286" s="16" t="s">
        <v>565</v>
      </c>
      <c r="C286" s="52" t="s">
        <v>546</v>
      </c>
      <c r="D286" t="str">
        <f>"9180215"</f>
        <v>9180215</v>
      </c>
      <c r="E286" s="52" t="s">
        <v>468</v>
      </c>
      <c r="F286" s="16" t="s">
        <v>26</v>
      </c>
      <c r="G286" s="52" t="s">
        <v>129</v>
      </c>
      <c r="H286" s="16" t="s">
        <v>129</v>
      </c>
      <c r="I286" s="53">
        <v>1982</v>
      </c>
      <c r="J286" s="53" t="s">
        <v>39</v>
      </c>
      <c r="K286" s="52" t="s">
        <v>139</v>
      </c>
    </row>
    <row r="287" spans="1:11">
      <c r="A287" s="33">
        <v>285</v>
      </c>
      <c r="B287" s="16" t="s">
        <v>565</v>
      </c>
      <c r="C287" s="52" t="s">
        <v>547</v>
      </c>
      <c r="D287" t="str">
        <f>"9180236"</f>
        <v>9180236</v>
      </c>
      <c r="E287" s="52" t="s">
        <v>468</v>
      </c>
      <c r="F287" s="16" t="s">
        <v>26</v>
      </c>
      <c r="G287" s="52" t="s">
        <v>129</v>
      </c>
      <c r="H287" s="16" t="s">
        <v>129</v>
      </c>
      <c r="I287" s="53">
        <v>2002</v>
      </c>
      <c r="J287" s="53" t="s">
        <v>40</v>
      </c>
      <c r="K287" s="52" t="s">
        <v>139</v>
      </c>
    </row>
    <row r="288" spans="1:11">
      <c r="A288" s="33">
        <v>286</v>
      </c>
      <c r="B288" s="16" t="s">
        <v>565</v>
      </c>
      <c r="C288" s="52" t="s">
        <v>548</v>
      </c>
      <c r="D288" t="str">
        <f>"9180247"</f>
        <v>9180247</v>
      </c>
      <c r="E288" s="52" t="s">
        <v>468</v>
      </c>
      <c r="F288" s="16" t="s">
        <v>26</v>
      </c>
      <c r="G288" s="52" t="s">
        <v>129</v>
      </c>
      <c r="H288" s="16" t="s">
        <v>129</v>
      </c>
      <c r="I288" s="53">
        <v>1981</v>
      </c>
      <c r="J288" s="53" t="s">
        <v>39</v>
      </c>
      <c r="K288" s="52" t="s">
        <v>139</v>
      </c>
    </row>
    <row r="289" spans="1:11">
      <c r="A289" s="33">
        <v>287</v>
      </c>
      <c r="B289" s="16" t="s">
        <v>565</v>
      </c>
      <c r="C289" s="52" t="s">
        <v>549</v>
      </c>
      <c r="D289" t="str">
        <f>"9180248"</f>
        <v>9180248</v>
      </c>
      <c r="E289" s="52" t="s">
        <v>468</v>
      </c>
      <c r="F289" s="16" t="s">
        <v>26</v>
      </c>
      <c r="G289" s="52" t="s">
        <v>129</v>
      </c>
      <c r="H289" s="16" t="s">
        <v>129</v>
      </c>
      <c r="I289" s="53">
        <v>1979</v>
      </c>
      <c r="J289" s="53" t="s">
        <v>39</v>
      </c>
      <c r="K289" s="52" t="s">
        <v>139</v>
      </c>
    </row>
    <row r="290" spans="1:11">
      <c r="A290" s="33">
        <v>288</v>
      </c>
      <c r="B290" s="16" t="s">
        <v>565</v>
      </c>
      <c r="C290" s="52" t="s">
        <v>550</v>
      </c>
      <c r="D290" t="str">
        <f>"9180251"</f>
        <v>9180251</v>
      </c>
      <c r="E290" s="52" t="s">
        <v>468</v>
      </c>
      <c r="F290" s="16" t="s">
        <v>26</v>
      </c>
      <c r="G290" s="52" t="s">
        <v>129</v>
      </c>
      <c r="H290" s="16" t="s">
        <v>129</v>
      </c>
      <c r="I290" s="69"/>
      <c r="J290" s="53" t="s">
        <v>40</v>
      </c>
      <c r="K290" s="52" t="s">
        <v>91</v>
      </c>
    </row>
    <row r="291" spans="1:11">
      <c r="A291" s="33">
        <v>289</v>
      </c>
      <c r="B291" s="16" t="s">
        <v>565</v>
      </c>
      <c r="C291" s="52" t="s">
        <v>551</v>
      </c>
      <c r="D291" t="str">
        <f>"9520895"</f>
        <v>9520895</v>
      </c>
      <c r="E291" s="52" t="s">
        <v>468</v>
      </c>
      <c r="F291" s="16" t="s">
        <v>26</v>
      </c>
      <c r="G291" s="52" t="s">
        <v>129</v>
      </c>
      <c r="H291" s="16" t="s">
        <v>129</v>
      </c>
      <c r="I291" s="53">
        <v>2014</v>
      </c>
      <c r="J291" s="53" t="s">
        <v>39</v>
      </c>
      <c r="K291" s="52" t="s">
        <v>91</v>
      </c>
    </row>
    <row r="292" spans="1:11">
      <c r="A292" s="33">
        <v>290</v>
      </c>
      <c r="B292" s="16" t="s">
        <v>565</v>
      </c>
      <c r="C292" s="52" t="s">
        <v>552</v>
      </c>
      <c r="D292" t="str">
        <f>"9180018"</f>
        <v>9180018</v>
      </c>
      <c r="E292" s="52" t="s">
        <v>468</v>
      </c>
      <c r="F292" s="16" t="s">
        <v>26</v>
      </c>
      <c r="G292" s="52" t="s">
        <v>129</v>
      </c>
      <c r="H292" s="16" t="s">
        <v>578</v>
      </c>
      <c r="I292" s="53">
        <v>1981</v>
      </c>
      <c r="J292" s="53" t="s">
        <v>40</v>
      </c>
      <c r="K292" s="52" t="s">
        <v>91</v>
      </c>
    </row>
    <row r="293" spans="1:11">
      <c r="A293" s="33">
        <v>291</v>
      </c>
      <c r="B293" s="16" t="s">
        <v>565</v>
      </c>
      <c r="C293" s="52" t="s">
        <v>557</v>
      </c>
      <c r="D293" s="141">
        <v>9180023</v>
      </c>
      <c r="E293" s="52" t="s">
        <v>468</v>
      </c>
      <c r="F293" s="16" t="s">
        <v>26</v>
      </c>
      <c r="G293" s="52" t="s">
        <v>129</v>
      </c>
      <c r="H293" s="16" t="s">
        <v>580</v>
      </c>
      <c r="I293" s="53">
        <v>1990</v>
      </c>
      <c r="J293" s="53" t="s">
        <v>40</v>
      </c>
      <c r="K293" s="52" t="s">
        <v>91</v>
      </c>
    </row>
    <row r="294" spans="1:11">
      <c r="A294" s="33">
        <v>292</v>
      </c>
      <c r="B294" s="16" t="s">
        <v>565</v>
      </c>
      <c r="C294" s="52" t="s">
        <v>559</v>
      </c>
      <c r="D294" t="str">
        <f>"9180245"</f>
        <v>9180245</v>
      </c>
      <c r="E294" s="52" t="s">
        <v>468</v>
      </c>
      <c r="F294" s="16" t="s">
        <v>26</v>
      </c>
      <c r="G294" s="52" t="s">
        <v>129</v>
      </c>
      <c r="H294" s="16" t="s">
        <v>581</v>
      </c>
      <c r="I294" s="53">
        <v>1955</v>
      </c>
      <c r="J294" s="53" t="s">
        <v>40</v>
      </c>
      <c r="K294" s="52" t="s">
        <v>91</v>
      </c>
    </row>
    <row r="295" spans="1:11">
      <c r="A295" s="33">
        <v>293</v>
      </c>
      <c r="B295" s="16" t="s">
        <v>565</v>
      </c>
      <c r="C295" s="52" t="s">
        <v>561</v>
      </c>
      <c r="D295" t="str">
        <f>"9180124"</f>
        <v>9180124</v>
      </c>
      <c r="E295" s="52" t="s">
        <v>468</v>
      </c>
      <c r="F295" s="16" t="s">
        <v>26</v>
      </c>
      <c r="G295" s="52" t="s">
        <v>129</v>
      </c>
      <c r="H295" s="16" t="s">
        <v>572</v>
      </c>
      <c r="I295" s="53">
        <v>1998</v>
      </c>
      <c r="J295" s="53" t="s">
        <v>39</v>
      </c>
      <c r="K295" s="52" t="s">
        <v>91</v>
      </c>
    </row>
    <row r="296" spans="1:11">
      <c r="A296" s="33">
        <v>294</v>
      </c>
      <c r="B296" s="16" t="s">
        <v>565</v>
      </c>
      <c r="C296" s="52" t="s">
        <v>563</v>
      </c>
      <c r="D296" t="str">
        <f>"9180203"</f>
        <v>9180203</v>
      </c>
      <c r="E296" s="52" t="s">
        <v>468</v>
      </c>
      <c r="F296" s="16" t="s">
        <v>26</v>
      </c>
      <c r="G296" s="52" t="s">
        <v>129</v>
      </c>
      <c r="H296" s="16" t="s">
        <v>573</v>
      </c>
      <c r="I296" s="69"/>
      <c r="J296" s="53" t="s">
        <v>40</v>
      </c>
      <c r="K296" s="52" t="s">
        <v>91</v>
      </c>
    </row>
    <row r="297" spans="1:11">
      <c r="A297" s="33">
        <v>295</v>
      </c>
      <c r="B297" s="16" t="s">
        <v>565</v>
      </c>
      <c r="C297" s="52" t="s">
        <v>535</v>
      </c>
      <c r="D297" t="str">
        <f>"9180059"</f>
        <v>9180059</v>
      </c>
      <c r="E297" s="52" t="s">
        <v>468</v>
      </c>
      <c r="F297" s="16" t="s">
        <v>26</v>
      </c>
      <c r="G297" s="52" t="s">
        <v>131</v>
      </c>
      <c r="H297" s="16" t="s">
        <v>135</v>
      </c>
      <c r="I297" s="53">
        <v>1920</v>
      </c>
      <c r="J297" s="53" t="s">
        <v>40</v>
      </c>
      <c r="K297" s="52" t="s">
        <v>91</v>
      </c>
    </row>
    <row r="298" spans="1:11">
      <c r="A298" s="33">
        <v>296</v>
      </c>
      <c r="B298" s="16" t="s">
        <v>565</v>
      </c>
      <c r="C298" s="52" t="s">
        <v>536</v>
      </c>
      <c r="D298" t="str">
        <f>"9180068"</f>
        <v>9180068</v>
      </c>
      <c r="E298" s="52" t="s">
        <v>468</v>
      </c>
      <c r="F298" s="16" t="s">
        <v>26</v>
      </c>
      <c r="G298" s="52" t="s">
        <v>131</v>
      </c>
      <c r="H298" s="16" t="s">
        <v>132</v>
      </c>
      <c r="I298" s="53">
        <v>1989</v>
      </c>
      <c r="J298" s="53" t="s">
        <v>39</v>
      </c>
      <c r="K298" s="52" t="s">
        <v>91</v>
      </c>
    </row>
    <row r="299" spans="1:11">
      <c r="A299" s="33">
        <v>297</v>
      </c>
      <c r="B299" s="16" t="s">
        <v>565</v>
      </c>
      <c r="C299" s="52" t="s">
        <v>542</v>
      </c>
      <c r="D299" t="str">
        <f>"9180249"</f>
        <v>9180249</v>
      </c>
      <c r="E299" s="52" t="s">
        <v>468</v>
      </c>
      <c r="F299" s="16" t="s">
        <v>26</v>
      </c>
      <c r="G299" s="52" t="s">
        <v>131</v>
      </c>
      <c r="H299" s="16" t="s">
        <v>135</v>
      </c>
      <c r="I299" s="53">
        <v>1981</v>
      </c>
      <c r="J299" s="53" t="s">
        <v>39</v>
      </c>
      <c r="K299" s="52" t="s">
        <v>91</v>
      </c>
    </row>
    <row r="300" spans="1:11">
      <c r="A300" s="33">
        <v>298</v>
      </c>
      <c r="B300" s="16" t="s">
        <v>565</v>
      </c>
      <c r="C300" s="52" t="s">
        <v>545</v>
      </c>
      <c r="D300" t="str">
        <f>"9180232"</f>
        <v>9180232</v>
      </c>
      <c r="E300" s="52" t="s">
        <v>468</v>
      </c>
      <c r="F300" s="16" t="s">
        <v>26</v>
      </c>
      <c r="G300" s="52" t="s">
        <v>131</v>
      </c>
      <c r="H300" s="16" t="s">
        <v>135</v>
      </c>
      <c r="I300" s="53">
        <v>1981</v>
      </c>
      <c r="J300" s="53" t="s">
        <v>39</v>
      </c>
      <c r="K300" s="52" t="s">
        <v>91</v>
      </c>
    </row>
    <row r="301" spans="1:11">
      <c r="A301" s="33">
        <v>299</v>
      </c>
      <c r="B301" s="16" t="s">
        <v>565</v>
      </c>
      <c r="C301" s="52" t="s">
        <v>553</v>
      </c>
      <c r="D301" t="str">
        <f>"9180070"</f>
        <v>9180070</v>
      </c>
      <c r="E301" s="52" t="s">
        <v>468</v>
      </c>
      <c r="F301" s="16" t="s">
        <v>26</v>
      </c>
      <c r="G301" s="52" t="s">
        <v>131</v>
      </c>
      <c r="H301" s="16" t="s">
        <v>579</v>
      </c>
      <c r="I301" s="53">
        <v>1971</v>
      </c>
      <c r="J301" s="53" t="s">
        <v>40</v>
      </c>
      <c r="K301" s="52" t="s">
        <v>91</v>
      </c>
    </row>
    <row r="302" spans="1:11">
      <c r="A302" s="33">
        <v>300</v>
      </c>
      <c r="B302" s="16" t="s">
        <v>565</v>
      </c>
      <c r="C302" s="52" t="s">
        <v>554</v>
      </c>
      <c r="D302" t="str">
        <f>"9180036"</f>
        <v>9180036</v>
      </c>
      <c r="E302" s="52" t="s">
        <v>468</v>
      </c>
      <c r="F302" s="16" t="s">
        <v>26</v>
      </c>
      <c r="G302" s="52" t="s">
        <v>131</v>
      </c>
      <c r="H302" s="16" t="s">
        <v>567</v>
      </c>
      <c r="I302" s="69"/>
      <c r="J302" s="53" t="s">
        <v>40</v>
      </c>
      <c r="K302" s="52" t="s">
        <v>91</v>
      </c>
    </row>
    <row r="303" spans="1:11">
      <c r="A303" s="33">
        <v>301</v>
      </c>
      <c r="B303" s="16" t="s">
        <v>565</v>
      </c>
      <c r="C303" s="52" t="s">
        <v>555</v>
      </c>
      <c r="D303" t="str">
        <f>"9180075"</f>
        <v>9180075</v>
      </c>
      <c r="E303" s="52" t="s">
        <v>468</v>
      </c>
      <c r="F303" s="16" t="s">
        <v>26</v>
      </c>
      <c r="G303" s="52" t="s">
        <v>131</v>
      </c>
      <c r="H303" s="16" t="s">
        <v>575</v>
      </c>
      <c r="I303" s="53">
        <v>1986</v>
      </c>
      <c r="J303" s="53" t="s">
        <v>40</v>
      </c>
      <c r="K303" s="52" t="s">
        <v>91</v>
      </c>
    </row>
    <row r="304" spans="1:11">
      <c r="A304" s="33">
        <v>302</v>
      </c>
      <c r="B304" s="16" t="s">
        <v>565</v>
      </c>
      <c r="C304" s="52" t="s">
        <v>556</v>
      </c>
      <c r="D304" t="str">
        <f>"9180078"</f>
        <v>9180078</v>
      </c>
      <c r="E304" s="52" t="s">
        <v>468</v>
      </c>
      <c r="F304" s="16" t="s">
        <v>26</v>
      </c>
      <c r="G304" s="52" t="s">
        <v>131</v>
      </c>
      <c r="H304" s="16" t="s">
        <v>576</v>
      </c>
      <c r="I304" s="69"/>
      <c r="J304" s="53" t="s">
        <v>40</v>
      </c>
      <c r="K304" s="52" t="s">
        <v>91</v>
      </c>
    </row>
    <row r="305" spans="1:11">
      <c r="A305" s="33">
        <v>303</v>
      </c>
      <c r="B305" s="16" t="s">
        <v>565</v>
      </c>
      <c r="C305" s="52" t="s">
        <v>560</v>
      </c>
      <c r="D305" t="str">
        <f>"9180201"</f>
        <v>9180201</v>
      </c>
      <c r="E305" s="52" t="s">
        <v>468</v>
      </c>
      <c r="F305" s="16" t="s">
        <v>26</v>
      </c>
      <c r="G305" s="52" t="s">
        <v>131</v>
      </c>
      <c r="H305" s="16" t="s">
        <v>134</v>
      </c>
      <c r="I305" s="53">
        <v>1988</v>
      </c>
      <c r="J305" s="53" t="s">
        <v>39</v>
      </c>
      <c r="K305" s="52" t="s">
        <v>91</v>
      </c>
    </row>
    <row r="306" spans="1:11">
      <c r="A306" s="33">
        <v>304</v>
      </c>
      <c r="B306" s="16" t="s">
        <v>565</v>
      </c>
      <c r="C306" s="52" t="s">
        <v>564</v>
      </c>
      <c r="D306" s="116" t="str">
        <f>"9520972"</f>
        <v>9520972</v>
      </c>
      <c r="E306" s="52" t="s">
        <v>468</v>
      </c>
      <c r="F306" s="16" t="s">
        <v>26</v>
      </c>
      <c r="G306" s="52" t="s">
        <v>131</v>
      </c>
      <c r="H306" s="16" t="s">
        <v>577</v>
      </c>
      <c r="I306" s="69"/>
      <c r="J306" s="53" t="s">
        <v>40</v>
      </c>
      <c r="K306" s="52" t="s">
        <v>91</v>
      </c>
    </row>
    <row r="307" spans="1:11">
      <c r="A307" s="33">
        <v>305</v>
      </c>
      <c r="B307" s="16" t="s">
        <v>565</v>
      </c>
      <c r="C307" s="52" t="s">
        <v>530</v>
      </c>
      <c r="D307" t="str">
        <f>"9180146"</f>
        <v>9180146</v>
      </c>
      <c r="E307" s="52" t="s">
        <v>468</v>
      </c>
      <c r="F307" s="16" t="s">
        <v>26</v>
      </c>
      <c r="G307" s="52" t="s">
        <v>130</v>
      </c>
      <c r="H307" s="16" t="s">
        <v>574</v>
      </c>
      <c r="I307" s="53">
        <v>1960</v>
      </c>
      <c r="J307" s="53" t="s">
        <v>40</v>
      </c>
      <c r="K307" s="52" t="s">
        <v>91</v>
      </c>
    </row>
    <row r="308" spans="1:11">
      <c r="A308" s="33">
        <v>306</v>
      </c>
      <c r="B308" s="16" t="s">
        <v>565</v>
      </c>
      <c r="C308" s="52" t="s">
        <v>532</v>
      </c>
      <c r="D308" t="str">
        <f>"9180137"</f>
        <v>9180137</v>
      </c>
      <c r="E308" s="52" t="s">
        <v>468</v>
      </c>
      <c r="F308" s="16" t="s">
        <v>26</v>
      </c>
      <c r="G308" s="52" t="s">
        <v>130</v>
      </c>
      <c r="H308" s="16" t="s">
        <v>130</v>
      </c>
      <c r="I308" s="69"/>
      <c r="J308" s="53" t="s">
        <v>40</v>
      </c>
      <c r="K308" s="52" t="s">
        <v>91</v>
      </c>
    </row>
    <row r="309" spans="1:11">
      <c r="A309" s="33">
        <v>307</v>
      </c>
      <c r="B309" s="16" t="s">
        <v>565</v>
      </c>
      <c r="C309" s="52" t="s">
        <v>543</v>
      </c>
      <c r="D309" t="str">
        <f>"9180139"</f>
        <v>9180139</v>
      </c>
      <c r="E309" s="52" t="s">
        <v>468</v>
      </c>
      <c r="F309" s="16" t="s">
        <v>26</v>
      </c>
      <c r="G309" s="52" t="s">
        <v>130</v>
      </c>
      <c r="H309" s="16" t="s">
        <v>130</v>
      </c>
      <c r="I309" s="53">
        <v>1923</v>
      </c>
      <c r="J309" s="53" t="s">
        <v>40</v>
      </c>
      <c r="K309" s="52" t="s">
        <v>91</v>
      </c>
    </row>
    <row r="310" spans="1:11">
      <c r="A310" s="33">
        <v>308</v>
      </c>
      <c r="B310" s="16" t="s">
        <v>565</v>
      </c>
      <c r="C310" s="52" t="s">
        <v>558</v>
      </c>
      <c r="D310" t="str">
        <f>"9521681"</f>
        <v>9521681</v>
      </c>
      <c r="E310" s="52" t="s">
        <v>468</v>
      </c>
      <c r="F310" s="16" t="s">
        <v>26</v>
      </c>
      <c r="G310" s="52" t="s">
        <v>130</v>
      </c>
      <c r="H310" s="16" t="s">
        <v>570</v>
      </c>
      <c r="I310" s="53">
        <v>1956</v>
      </c>
      <c r="J310" s="53" t="s">
        <v>40</v>
      </c>
      <c r="K310" s="52" t="s">
        <v>91</v>
      </c>
    </row>
    <row r="311" spans="1:11">
      <c r="A311" s="33">
        <v>309</v>
      </c>
      <c r="B311" s="16" t="s">
        <v>565</v>
      </c>
      <c r="C311" s="52" t="s">
        <v>562</v>
      </c>
      <c r="D311" s="76" t="str">
        <f>"9180188"</f>
        <v>9180188</v>
      </c>
      <c r="E311" s="52" t="s">
        <v>468</v>
      </c>
      <c r="F311" s="16" t="s">
        <v>26</v>
      </c>
      <c r="G311" s="52" t="s">
        <v>130</v>
      </c>
      <c r="H311" s="16" t="s">
        <v>566</v>
      </c>
      <c r="I311" s="69"/>
      <c r="J311" s="53" t="s">
        <v>40</v>
      </c>
      <c r="K311" s="52" t="s">
        <v>91</v>
      </c>
    </row>
    <row r="312" spans="1:11" ht="29.25">
      <c r="A312" s="33">
        <v>310</v>
      </c>
      <c r="B312" s="16" t="s">
        <v>453</v>
      </c>
      <c r="C312" s="34" t="s">
        <v>425</v>
      </c>
      <c r="D312" t="str">
        <f>"9200215"</f>
        <v>9200215</v>
      </c>
      <c r="E312" s="34" t="s">
        <v>467</v>
      </c>
      <c r="F312" s="2" t="s">
        <v>27</v>
      </c>
      <c r="G312" s="77" t="s">
        <v>226</v>
      </c>
      <c r="H312" s="12" t="s">
        <v>500</v>
      </c>
      <c r="I312" s="36">
        <v>1946</v>
      </c>
      <c r="J312" s="36" t="s">
        <v>40</v>
      </c>
      <c r="K312" s="34" t="s">
        <v>91</v>
      </c>
    </row>
    <row r="313" spans="1:11" ht="29.25">
      <c r="A313" s="33">
        <v>311</v>
      </c>
      <c r="B313" s="16" t="s">
        <v>453</v>
      </c>
      <c r="C313" s="34" t="s">
        <v>461</v>
      </c>
      <c r="D313" s="96"/>
      <c r="E313" s="34" t="s">
        <v>467</v>
      </c>
      <c r="F313" s="2" t="s">
        <v>27</v>
      </c>
      <c r="G313" s="77" t="s">
        <v>226</v>
      </c>
      <c r="H313" s="12" t="s">
        <v>484</v>
      </c>
      <c r="I313" s="36">
        <v>1976</v>
      </c>
      <c r="J313" s="36" t="s">
        <v>40</v>
      </c>
      <c r="K313" s="34" t="s">
        <v>91</v>
      </c>
    </row>
    <row r="314" spans="1:11" ht="29.25">
      <c r="A314" s="33">
        <v>312</v>
      </c>
      <c r="B314" s="16" t="s">
        <v>453</v>
      </c>
      <c r="C314" s="34" t="s">
        <v>462</v>
      </c>
      <c r="D314" s="96"/>
      <c r="E314" s="34" t="s">
        <v>467</v>
      </c>
      <c r="F314" s="2" t="s">
        <v>27</v>
      </c>
      <c r="G314" s="77" t="s">
        <v>226</v>
      </c>
      <c r="H314" s="12" t="s">
        <v>487</v>
      </c>
      <c r="I314" s="36">
        <v>1960</v>
      </c>
      <c r="J314" s="36" t="s">
        <v>40</v>
      </c>
      <c r="K314" s="34" t="s">
        <v>91</v>
      </c>
    </row>
    <row r="315" spans="1:11" ht="29.25">
      <c r="A315" s="33">
        <v>313</v>
      </c>
      <c r="B315" s="16" t="s">
        <v>453</v>
      </c>
      <c r="C315" s="34" t="s">
        <v>449</v>
      </c>
      <c r="D315" t="str">
        <f>"9200167"</f>
        <v>9200167</v>
      </c>
      <c r="E315" s="34" t="s">
        <v>467</v>
      </c>
      <c r="F315" s="2" t="s">
        <v>27</v>
      </c>
      <c r="G315" s="77" t="s">
        <v>226</v>
      </c>
      <c r="H315" s="12" t="s">
        <v>232</v>
      </c>
      <c r="I315" s="36">
        <v>1953</v>
      </c>
      <c r="J315" s="36" t="s">
        <v>40</v>
      </c>
      <c r="K315" s="34" t="s">
        <v>91</v>
      </c>
    </row>
    <row r="316" spans="1:11" ht="15.75">
      <c r="A316" s="33">
        <v>314</v>
      </c>
      <c r="B316" s="16" t="s">
        <v>453</v>
      </c>
      <c r="C316" s="34" t="s">
        <v>415</v>
      </c>
      <c r="D316" t="str">
        <f>"9200106"</f>
        <v>9200106</v>
      </c>
      <c r="E316" s="34" t="s">
        <v>467</v>
      </c>
      <c r="F316" s="2" t="s">
        <v>27</v>
      </c>
      <c r="G316" s="76" t="s">
        <v>329</v>
      </c>
      <c r="H316" s="12" t="s">
        <v>470</v>
      </c>
      <c r="I316" s="36">
        <v>1989</v>
      </c>
      <c r="J316" s="36" t="s">
        <v>39</v>
      </c>
      <c r="K316" s="34" t="s">
        <v>91</v>
      </c>
    </row>
    <row r="317" spans="1:11" ht="15.75">
      <c r="A317" s="33">
        <v>315</v>
      </c>
      <c r="B317" s="16" t="s">
        <v>453</v>
      </c>
      <c r="C317" s="34" t="s">
        <v>426</v>
      </c>
      <c r="D317" t="str">
        <f>"9200257"</f>
        <v>9200257</v>
      </c>
      <c r="E317" s="34" t="s">
        <v>467</v>
      </c>
      <c r="F317" s="2" t="s">
        <v>27</v>
      </c>
      <c r="G317" s="76" t="s">
        <v>329</v>
      </c>
      <c r="H317" s="12" t="s">
        <v>476</v>
      </c>
      <c r="I317" s="81"/>
      <c r="J317" s="36" t="s">
        <v>39</v>
      </c>
      <c r="K317" s="34" t="s">
        <v>91</v>
      </c>
    </row>
    <row r="318" spans="1:11" ht="15.75">
      <c r="A318" s="33">
        <v>316</v>
      </c>
      <c r="B318" s="16" t="s">
        <v>453</v>
      </c>
      <c r="C318" s="34" t="s">
        <v>428</v>
      </c>
      <c r="D318" t="str">
        <f>"9200091"</f>
        <v>9200091</v>
      </c>
      <c r="E318" s="34" t="s">
        <v>467</v>
      </c>
      <c r="F318" s="2" t="s">
        <v>27</v>
      </c>
      <c r="G318" s="76" t="s">
        <v>329</v>
      </c>
      <c r="H318" s="12" t="s">
        <v>478</v>
      </c>
      <c r="I318" s="36">
        <v>1991</v>
      </c>
      <c r="J318" s="36" t="s">
        <v>40</v>
      </c>
      <c r="K318" s="34" t="s">
        <v>91</v>
      </c>
    </row>
    <row r="319" spans="1:11" ht="15.75">
      <c r="A319" s="33">
        <v>317</v>
      </c>
      <c r="B319" s="16" t="s">
        <v>453</v>
      </c>
      <c r="C319" s="34" t="s">
        <v>431</v>
      </c>
      <c r="D319" t="str">
        <f>"9200136"</f>
        <v>9200136</v>
      </c>
      <c r="E319" s="34" t="s">
        <v>467</v>
      </c>
      <c r="F319" s="2" t="s">
        <v>27</v>
      </c>
      <c r="G319" s="76" t="s">
        <v>329</v>
      </c>
      <c r="H319" s="12" t="s">
        <v>501</v>
      </c>
      <c r="I319" s="36">
        <v>1952</v>
      </c>
      <c r="J319" s="36" t="s">
        <v>40</v>
      </c>
      <c r="K319" s="34" t="s">
        <v>91</v>
      </c>
    </row>
    <row r="320" spans="1:11" ht="15.75">
      <c r="A320" s="33">
        <v>318</v>
      </c>
      <c r="B320" s="16" t="s">
        <v>453</v>
      </c>
      <c r="C320" s="34" t="s">
        <v>443</v>
      </c>
      <c r="D320" t="str">
        <f>"9200147"</f>
        <v>9200147</v>
      </c>
      <c r="E320" s="34" t="s">
        <v>467</v>
      </c>
      <c r="F320" s="2" t="s">
        <v>27</v>
      </c>
      <c r="G320" s="76" t="s">
        <v>329</v>
      </c>
      <c r="H320" s="12" t="s">
        <v>503</v>
      </c>
      <c r="I320" s="36">
        <v>1951</v>
      </c>
      <c r="J320" s="36" t="s">
        <v>40</v>
      </c>
      <c r="K320" s="34" t="s">
        <v>91</v>
      </c>
    </row>
    <row r="321" spans="1:11" ht="15.75">
      <c r="A321" s="33">
        <v>319</v>
      </c>
      <c r="B321" s="16" t="s">
        <v>453</v>
      </c>
      <c r="C321" s="34" t="s">
        <v>448</v>
      </c>
      <c r="D321" t="str">
        <f>"9200132"</f>
        <v>9200132</v>
      </c>
      <c r="E321" s="34" t="s">
        <v>467</v>
      </c>
      <c r="F321" s="2" t="s">
        <v>27</v>
      </c>
      <c r="G321" s="76" t="s">
        <v>329</v>
      </c>
      <c r="H321" s="12" t="s">
        <v>504</v>
      </c>
      <c r="I321" s="36">
        <v>1946</v>
      </c>
      <c r="J321" s="36" t="s">
        <v>40</v>
      </c>
      <c r="K321" s="34" t="s">
        <v>91</v>
      </c>
    </row>
    <row r="322" spans="1:11" ht="15.75">
      <c r="A322" s="33">
        <v>320</v>
      </c>
      <c r="B322" s="16" t="s">
        <v>453</v>
      </c>
      <c r="C322" s="34" t="s">
        <v>830</v>
      </c>
      <c r="D322" t="str">
        <f>"9200020"</f>
        <v>9200020</v>
      </c>
      <c r="E322" s="34" t="s">
        <v>467</v>
      </c>
      <c r="F322" s="2" t="s">
        <v>27</v>
      </c>
      <c r="G322" s="76" t="s">
        <v>335</v>
      </c>
      <c r="H322" s="12" t="s">
        <v>490</v>
      </c>
      <c r="I322" s="36"/>
      <c r="J322" s="36"/>
      <c r="K322" s="34"/>
    </row>
    <row r="323" spans="1:11" ht="15.75">
      <c r="A323" s="33">
        <v>321</v>
      </c>
      <c r="B323" s="16" t="s">
        <v>453</v>
      </c>
      <c r="C323" s="34" t="s">
        <v>440</v>
      </c>
      <c r="D323" t="str">
        <f>"9200028"</f>
        <v>9200028</v>
      </c>
      <c r="E323" s="34" t="s">
        <v>467</v>
      </c>
      <c r="F323" s="2" t="s">
        <v>27</v>
      </c>
      <c r="G323" s="76" t="s">
        <v>335</v>
      </c>
      <c r="H323" s="12" t="s">
        <v>485</v>
      </c>
      <c r="I323" s="36">
        <v>2007</v>
      </c>
      <c r="J323" s="36" t="s">
        <v>40</v>
      </c>
      <c r="K323" s="34" t="s">
        <v>91</v>
      </c>
    </row>
    <row r="324" spans="1:11" ht="15.75">
      <c r="A324" s="33">
        <v>322</v>
      </c>
      <c r="B324" s="16" t="s">
        <v>453</v>
      </c>
      <c r="C324" s="34" t="s">
        <v>444</v>
      </c>
      <c r="D324" t="str">
        <f>"9200293"</f>
        <v>9200293</v>
      </c>
      <c r="E324" s="34" t="s">
        <v>467</v>
      </c>
      <c r="F324" s="2" t="s">
        <v>27</v>
      </c>
      <c r="G324" s="76" t="s">
        <v>335</v>
      </c>
      <c r="H324" s="12" t="s">
        <v>369</v>
      </c>
      <c r="I324" s="36">
        <v>1897</v>
      </c>
      <c r="J324" s="36" t="s">
        <v>40</v>
      </c>
      <c r="K324" s="34" t="s">
        <v>91</v>
      </c>
    </row>
    <row r="325" spans="1:11" ht="15.75">
      <c r="A325" s="33">
        <v>323</v>
      </c>
      <c r="B325" s="16" t="s">
        <v>453</v>
      </c>
      <c r="C325" s="34" t="s">
        <v>463</v>
      </c>
      <c r="D325" s="96"/>
      <c r="E325" s="34" t="s">
        <v>467</v>
      </c>
      <c r="F325" s="2" t="s">
        <v>27</v>
      </c>
      <c r="G325" s="76" t="s">
        <v>335</v>
      </c>
      <c r="H325" s="12" t="s">
        <v>489</v>
      </c>
      <c r="I325" s="36">
        <v>1932</v>
      </c>
      <c r="J325" s="36" t="s">
        <v>40</v>
      </c>
      <c r="K325" s="34" t="s">
        <v>91</v>
      </c>
    </row>
    <row r="326" spans="1:11" ht="15.75">
      <c r="A326" s="33">
        <v>324</v>
      </c>
      <c r="B326" s="16" t="s">
        <v>453</v>
      </c>
      <c r="C326" s="34" t="s">
        <v>408</v>
      </c>
      <c r="D326" t="str">
        <f>"9200016"</f>
        <v>9200016</v>
      </c>
      <c r="E326" s="34" t="s">
        <v>467</v>
      </c>
      <c r="F326" s="2" t="s">
        <v>27</v>
      </c>
      <c r="G326" s="76" t="s">
        <v>228</v>
      </c>
      <c r="H326" s="12" t="s">
        <v>236</v>
      </c>
      <c r="I326" s="36">
        <v>2008</v>
      </c>
      <c r="J326" s="36" t="s">
        <v>39</v>
      </c>
      <c r="K326" s="34" t="s">
        <v>91</v>
      </c>
    </row>
    <row r="327" spans="1:11" ht="15.75">
      <c r="A327" s="33">
        <v>325</v>
      </c>
      <c r="B327" s="16" t="s">
        <v>453</v>
      </c>
      <c r="C327" s="34" t="s">
        <v>409</v>
      </c>
      <c r="D327" t="str">
        <f>"9521632"</f>
        <v>9521632</v>
      </c>
      <c r="E327" s="34" t="s">
        <v>467</v>
      </c>
      <c r="F327" s="2" t="s">
        <v>27</v>
      </c>
      <c r="G327" s="76" t="s">
        <v>228</v>
      </c>
      <c r="H327" s="12" t="s">
        <v>236</v>
      </c>
      <c r="I327" s="36">
        <v>1989</v>
      </c>
      <c r="J327" s="36" t="s">
        <v>39</v>
      </c>
      <c r="K327" s="34" t="s">
        <v>91</v>
      </c>
    </row>
    <row r="328" spans="1:11" ht="15.75">
      <c r="A328" s="33">
        <v>326</v>
      </c>
      <c r="B328" s="16" t="s">
        <v>453</v>
      </c>
      <c r="C328" s="34" t="s">
        <v>417</v>
      </c>
      <c r="D328" t="str">
        <f>"9200199"</f>
        <v>9200199</v>
      </c>
      <c r="E328" s="34" t="s">
        <v>467</v>
      </c>
      <c r="F328" s="2" t="s">
        <v>27</v>
      </c>
      <c r="G328" s="76" t="s">
        <v>228</v>
      </c>
      <c r="H328" s="12" t="s">
        <v>497</v>
      </c>
      <c r="I328" s="36">
        <v>1955</v>
      </c>
      <c r="J328" s="36" t="s">
        <v>40</v>
      </c>
      <c r="K328" s="34" t="s">
        <v>91</v>
      </c>
    </row>
    <row r="329" spans="1:11" ht="15.75">
      <c r="A329" s="33">
        <v>327</v>
      </c>
      <c r="B329" s="16" t="s">
        <v>453</v>
      </c>
      <c r="C329" s="34" t="s">
        <v>421</v>
      </c>
      <c r="D329" t="str">
        <f>"9200215"</f>
        <v>9200215</v>
      </c>
      <c r="E329" s="34" t="s">
        <v>467</v>
      </c>
      <c r="F329" s="2" t="s">
        <v>27</v>
      </c>
      <c r="G329" s="76" t="s">
        <v>228</v>
      </c>
      <c r="H329" s="12" t="s">
        <v>474</v>
      </c>
      <c r="I329" s="36">
        <v>1994</v>
      </c>
      <c r="J329" s="36" t="s">
        <v>39</v>
      </c>
      <c r="K329" s="34" t="s">
        <v>91</v>
      </c>
    </row>
    <row r="330" spans="1:11" ht="15.75">
      <c r="A330" s="33">
        <v>328</v>
      </c>
      <c r="B330" s="16" t="s">
        <v>453</v>
      </c>
      <c r="C330" s="34" t="s">
        <v>422</v>
      </c>
      <c r="D330" t="str">
        <f>"9200257"</f>
        <v>9200257</v>
      </c>
      <c r="E330" s="34" t="s">
        <v>467</v>
      </c>
      <c r="F330" s="2" t="s">
        <v>27</v>
      </c>
      <c r="G330" s="76" t="s">
        <v>228</v>
      </c>
      <c r="H330" s="12" t="s">
        <v>491</v>
      </c>
      <c r="I330" s="36">
        <v>1937</v>
      </c>
      <c r="J330" s="36" t="s">
        <v>40</v>
      </c>
      <c r="K330" s="34" t="s">
        <v>91</v>
      </c>
    </row>
    <row r="331" spans="1:11" ht="15.75">
      <c r="A331" s="33">
        <v>329</v>
      </c>
      <c r="B331" s="16" t="s">
        <v>453</v>
      </c>
      <c r="C331" s="34" t="s">
        <v>427</v>
      </c>
      <c r="D331" s="76" t="str">
        <f>"9200020"</f>
        <v>9200020</v>
      </c>
      <c r="E331" s="34" t="s">
        <v>467</v>
      </c>
      <c r="F331" s="2" t="s">
        <v>27</v>
      </c>
      <c r="G331" s="76" t="s">
        <v>228</v>
      </c>
      <c r="H331" s="12" t="s">
        <v>228</v>
      </c>
      <c r="I331" s="36">
        <v>1948</v>
      </c>
      <c r="J331" s="36" t="s">
        <v>40</v>
      </c>
      <c r="K331" s="34" t="s">
        <v>91</v>
      </c>
    </row>
    <row r="332" spans="1:11" ht="15.75">
      <c r="A332" s="33">
        <v>330</v>
      </c>
      <c r="B332" s="16" t="s">
        <v>453</v>
      </c>
      <c r="C332" s="34" t="s">
        <v>458</v>
      </c>
      <c r="D332" s="96"/>
      <c r="E332" s="34" t="s">
        <v>467</v>
      </c>
      <c r="F332" s="2" t="s">
        <v>27</v>
      </c>
      <c r="G332" s="76" t="s">
        <v>228</v>
      </c>
      <c r="H332" s="12" t="s">
        <v>477</v>
      </c>
      <c r="I332" s="81"/>
      <c r="J332" s="36" t="s">
        <v>40</v>
      </c>
      <c r="K332" s="34" t="s">
        <v>91</v>
      </c>
    </row>
    <row r="333" spans="1:11" ht="15.75">
      <c r="A333" s="33">
        <v>331</v>
      </c>
      <c r="B333" s="16" t="s">
        <v>453</v>
      </c>
      <c r="C333" s="34" t="s">
        <v>433</v>
      </c>
      <c r="D333" t="str">
        <f>"9200367"</f>
        <v>9200367</v>
      </c>
      <c r="E333" s="34" t="s">
        <v>467</v>
      </c>
      <c r="F333" s="2" t="s">
        <v>27</v>
      </c>
      <c r="G333" s="76" t="s">
        <v>228</v>
      </c>
      <c r="H333" s="12" t="s">
        <v>481</v>
      </c>
      <c r="I333" s="36">
        <v>1932</v>
      </c>
      <c r="J333" s="36" t="s">
        <v>40</v>
      </c>
      <c r="K333" s="34" t="s">
        <v>91</v>
      </c>
    </row>
    <row r="334" spans="1:11" ht="15.75">
      <c r="A334" s="33">
        <v>332</v>
      </c>
      <c r="B334" s="16" t="s">
        <v>453</v>
      </c>
      <c r="C334" s="34" t="s">
        <v>437</v>
      </c>
      <c r="D334" t="str">
        <f>"9200029"</f>
        <v>9200029</v>
      </c>
      <c r="E334" s="34" t="s">
        <v>467</v>
      </c>
      <c r="F334" s="2" t="s">
        <v>27</v>
      </c>
      <c r="G334" s="76" t="s">
        <v>228</v>
      </c>
      <c r="H334" s="12" t="s">
        <v>241</v>
      </c>
      <c r="I334" s="36">
        <v>1983</v>
      </c>
      <c r="J334" s="36" t="s">
        <v>39</v>
      </c>
      <c r="K334" s="34" t="s">
        <v>91</v>
      </c>
    </row>
    <row r="335" spans="1:11" ht="15.75">
      <c r="A335" s="33">
        <v>333</v>
      </c>
      <c r="B335" s="16" t="s">
        <v>453</v>
      </c>
      <c r="C335" s="34" t="s">
        <v>450</v>
      </c>
      <c r="D335" t="str">
        <f>"9200073"</f>
        <v>9200073</v>
      </c>
      <c r="E335" s="34" t="s">
        <v>467</v>
      </c>
      <c r="F335" s="2" t="s">
        <v>27</v>
      </c>
      <c r="G335" s="76" t="s">
        <v>228</v>
      </c>
      <c r="H335" s="12" t="s">
        <v>488</v>
      </c>
      <c r="I335" s="36">
        <v>1986</v>
      </c>
      <c r="J335" s="36" t="s">
        <v>39</v>
      </c>
      <c r="K335" s="34" t="s">
        <v>91</v>
      </c>
    </row>
    <row r="336" spans="1:11" ht="15.75">
      <c r="A336" s="33">
        <v>334</v>
      </c>
      <c r="B336" s="16" t="s">
        <v>453</v>
      </c>
      <c r="C336" s="34" t="s">
        <v>388</v>
      </c>
      <c r="D336" t="str">
        <f>"9200195"</f>
        <v>9200195</v>
      </c>
      <c r="E336" s="34" t="s">
        <v>467</v>
      </c>
      <c r="F336" s="2" t="s">
        <v>27</v>
      </c>
      <c r="G336" s="76" t="s">
        <v>224</v>
      </c>
      <c r="H336" s="12" t="s">
        <v>27</v>
      </c>
      <c r="I336" s="36">
        <v>1973</v>
      </c>
      <c r="J336" s="36" t="s">
        <v>39</v>
      </c>
      <c r="K336" s="34" t="s">
        <v>91</v>
      </c>
    </row>
    <row r="337" spans="1:11" ht="15.75">
      <c r="A337" s="33">
        <v>335</v>
      </c>
      <c r="B337" s="16" t="s">
        <v>453</v>
      </c>
      <c r="C337" s="34" t="s">
        <v>389</v>
      </c>
      <c r="D337" t="str">
        <f>"9200507"</f>
        <v>9200507</v>
      </c>
      <c r="E337" s="34" t="s">
        <v>467</v>
      </c>
      <c r="F337" s="2" t="s">
        <v>27</v>
      </c>
      <c r="G337" s="76" t="s">
        <v>224</v>
      </c>
      <c r="H337" s="12" t="s">
        <v>27</v>
      </c>
      <c r="I337" s="36">
        <v>1957</v>
      </c>
      <c r="J337" s="36" t="s">
        <v>40</v>
      </c>
      <c r="K337" s="34" t="s">
        <v>91</v>
      </c>
    </row>
    <row r="338" spans="1:11" ht="15.75">
      <c r="A338" s="33">
        <v>336</v>
      </c>
      <c r="B338" s="16" t="s">
        <v>453</v>
      </c>
      <c r="C338" s="34" t="s">
        <v>390</v>
      </c>
      <c r="D338" t="str">
        <f>"9200465"</f>
        <v>9200465</v>
      </c>
      <c r="E338" s="34" t="s">
        <v>467</v>
      </c>
      <c r="F338" s="2" t="s">
        <v>27</v>
      </c>
      <c r="G338" s="76" t="s">
        <v>224</v>
      </c>
      <c r="H338" s="12" t="s">
        <v>27</v>
      </c>
      <c r="I338" s="36">
        <v>1937</v>
      </c>
      <c r="J338" s="36" t="s">
        <v>40</v>
      </c>
      <c r="K338" s="34" t="s">
        <v>91</v>
      </c>
    </row>
    <row r="339" spans="1:11" ht="15.75">
      <c r="A339" s="33">
        <v>337</v>
      </c>
      <c r="B339" s="16" t="s">
        <v>453</v>
      </c>
      <c r="C339" s="34" t="s">
        <v>391</v>
      </c>
      <c r="D339" t="str">
        <f>"9200472"</f>
        <v>9200472</v>
      </c>
      <c r="E339" s="34" t="s">
        <v>467</v>
      </c>
      <c r="F339" s="2" t="s">
        <v>27</v>
      </c>
      <c r="G339" s="76" t="s">
        <v>224</v>
      </c>
      <c r="H339" s="12" t="s">
        <v>27</v>
      </c>
      <c r="I339" s="36">
        <v>1985</v>
      </c>
      <c r="J339" s="36" t="s">
        <v>39</v>
      </c>
      <c r="K339" s="34" t="s">
        <v>91</v>
      </c>
    </row>
    <row r="340" spans="1:11" ht="15.75">
      <c r="A340" s="33">
        <v>338</v>
      </c>
      <c r="B340" s="16" t="s">
        <v>453</v>
      </c>
      <c r="C340" s="34" t="s">
        <v>392</v>
      </c>
      <c r="D340" t="str">
        <f>"9200578"</f>
        <v>9200578</v>
      </c>
      <c r="E340" s="34" t="s">
        <v>467</v>
      </c>
      <c r="F340" s="2" t="s">
        <v>27</v>
      </c>
      <c r="G340" s="76" t="s">
        <v>224</v>
      </c>
      <c r="H340" s="12" t="s">
        <v>27</v>
      </c>
      <c r="I340" s="36">
        <v>1930</v>
      </c>
      <c r="J340" s="36" t="s">
        <v>40</v>
      </c>
      <c r="K340" s="34" t="s">
        <v>91</v>
      </c>
    </row>
    <row r="341" spans="1:11" ht="15.75">
      <c r="A341" s="33">
        <v>339</v>
      </c>
      <c r="B341" s="16" t="s">
        <v>453</v>
      </c>
      <c r="C341" s="34" t="s">
        <v>393</v>
      </c>
      <c r="D341" t="str">
        <f>"9200543"</f>
        <v>9200543</v>
      </c>
      <c r="E341" s="34" t="s">
        <v>467</v>
      </c>
      <c r="F341" s="2" t="s">
        <v>27</v>
      </c>
      <c r="G341" s="76" t="s">
        <v>224</v>
      </c>
      <c r="H341" s="12" t="s">
        <v>27</v>
      </c>
      <c r="I341" s="36">
        <v>1970</v>
      </c>
      <c r="J341" s="36" t="s">
        <v>40</v>
      </c>
      <c r="K341" s="34" t="s">
        <v>91</v>
      </c>
    </row>
    <row r="342" spans="1:11" ht="15.75">
      <c r="A342" s="33">
        <v>340</v>
      </c>
      <c r="B342" s="16" t="s">
        <v>453</v>
      </c>
      <c r="C342" s="34" t="s">
        <v>394</v>
      </c>
      <c r="D342" t="str">
        <f>"9200194"</f>
        <v>9200194</v>
      </c>
      <c r="E342" s="34" t="s">
        <v>467</v>
      </c>
      <c r="F342" s="2" t="s">
        <v>27</v>
      </c>
      <c r="G342" s="76" t="s">
        <v>224</v>
      </c>
      <c r="H342" s="12" t="s">
        <v>27</v>
      </c>
      <c r="I342" s="36">
        <v>1979</v>
      </c>
      <c r="J342" s="36" t="s">
        <v>40</v>
      </c>
      <c r="K342" s="34" t="s">
        <v>91</v>
      </c>
    </row>
    <row r="343" spans="1:11" ht="15.75">
      <c r="A343" s="33">
        <v>341</v>
      </c>
      <c r="B343" s="16" t="s">
        <v>453</v>
      </c>
      <c r="C343" s="34" t="s">
        <v>405</v>
      </c>
      <c r="D343" t="str">
        <f>"9200112"</f>
        <v>9200112</v>
      </c>
      <c r="E343" s="34" t="s">
        <v>467</v>
      </c>
      <c r="F343" s="2" t="s">
        <v>27</v>
      </c>
      <c r="G343" s="76" t="s">
        <v>224</v>
      </c>
      <c r="H343" s="12" t="s">
        <v>222</v>
      </c>
      <c r="I343" s="36">
        <v>1979</v>
      </c>
      <c r="J343" s="36" t="s">
        <v>40</v>
      </c>
      <c r="K343" s="34" t="s">
        <v>91</v>
      </c>
    </row>
    <row r="344" spans="1:11" ht="15.75">
      <c r="A344" s="33">
        <v>342</v>
      </c>
      <c r="B344" s="16" t="s">
        <v>453</v>
      </c>
      <c r="C344" s="34" t="s">
        <v>380</v>
      </c>
      <c r="D344" t="str">
        <f>"9200501"</f>
        <v>9200501</v>
      </c>
      <c r="E344" s="34" t="s">
        <v>467</v>
      </c>
      <c r="F344" s="2" t="s">
        <v>27</v>
      </c>
      <c r="G344" s="76" t="s">
        <v>224</v>
      </c>
      <c r="H344" s="12" t="s">
        <v>27</v>
      </c>
      <c r="I344" s="36">
        <v>1925</v>
      </c>
      <c r="J344" s="36" t="s">
        <v>40</v>
      </c>
      <c r="K344" s="34" t="s">
        <v>91</v>
      </c>
    </row>
    <row r="345" spans="1:11" ht="15.75">
      <c r="A345" s="33">
        <v>343</v>
      </c>
      <c r="B345" s="16" t="s">
        <v>453</v>
      </c>
      <c r="C345" s="34" t="s">
        <v>413</v>
      </c>
      <c r="D345" s="116" t="str">
        <f>"9200250"</f>
        <v>9200250</v>
      </c>
      <c r="E345" s="34" t="s">
        <v>467</v>
      </c>
      <c r="F345" s="2" t="s">
        <v>27</v>
      </c>
      <c r="G345" s="76" t="s">
        <v>224</v>
      </c>
      <c r="H345" s="12" t="s">
        <v>469</v>
      </c>
      <c r="I345" s="36">
        <v>1964</v>
      </c>
      <c r="J345" s="36" t="s">
        <v>40</v>
      </c>
      <c r="K345" s="34" t="s">
        <v>91</v>
      </c>
    </row>
    <row r="346" spans="1:11" ht="15.75">
      <c r="A346" s="33">
        <v>344</v>
      </c>
      <c r="B346" s="16" t="s">
        <v>453</v>
      </c>
      <c r="C346" s="34" t="s">
        <v>400</v>
      </c>
      <c r="D346" t="str">
        <f>"9200436"</f>
        <v>9200436</v>
      </c>
      <c r="E346" s="34" t="s">
        <v>467</v>
      </c>
      <c r="F346" s="2" t="s">
        <v>27</v>
      </c>
      <c r="G346" s="76" t="s">
        <v>224</v>
      </c>
      <c r="H346" s="12" t="s">
        <v>27</v>
      </c>
      <c r="I346" s="36">
        <v>1963</v>
      </c>
      <c r="J346" s="36" t="s">
        <v>40</v>
      </c>
      <c r="K346" s="34" t="s">
        <v>91</v>
      </c>
    </row>
    <row r="347" spans="1:11" ht="15.75">
      <c r="A347" s="33">
        <v>345</v>
      </c>
      <c r="B347" s="16" t="s">
        <v>453</v>
      </c>
      <c r="C347" s="34" t="s">
        <v>403</v>
      </c>
      <c r="D347" t="str">
        <f>"9200405"</f>
        <v>9200405</v>
      </c>
      <c r="E347" s="34" t="s">
        <v>467</v>
      </c>
      <c r="F347" s="2" t="s">
        <v>27</v>
      </c>
      <c r="G347" s="76" t="s">
        <v>224</v>
      </c>
      <c r="H347" s="12" t="s">
        <v>27</v>
      </c>
      <c r="I347" s="36">
        <v>1937</v>
      </c>
      <c r="J347" s="36" t="s">
        <v>40</v>
      </c>
      <c r="K347" s="34" t="s">
        <v>91</v>
      </c>
    </row>
    <row r="348" spans="1:11" ht="15.75">
      <c r="A348" s="33">
        <v>346</v>
      </c>
      <c r="B348" s="16" t="s">
        <v>453</v>
      </c>
      <c r="C348" s="34" t="s">
        <v>395</v>
      </c>
      <c r="D348" t="str">
        <f>"9200584"</f>
        <v>9200584</v>
      </c>
      <c r="E348" s="34" t="s">
        <v>467</v>
      </c>
      <c r="F348" s="2" t="s">
        <v>27</v>
      </c>
      <c r="G348" s="76" t="s">
        <v>224</v>
      </c>
      <c r="H348" s="12" t="s">
        <v>27</v>
      </c>
      <c r="I348" s="36">
        <v>1987</v>
      </c>
      <c r="J348" s="36" t="s">
        <v>39</v>
      </c>
      <c r="K348" s="34" t="s">
        <v>91</v>
      </c>
    </row>
    <row r="349" spans="1:11" ht="15.75">
      <c r="A349" s="33">
        <v>347</v>
      </c>
      <c r="B349" s="16" t="s">
        <v>453</v>
      </c>
      <c r="C349" s="34" t="s">
        <v>396</v>
      </c>
      <c r="D349" t="str">
        <f>"9200430"</f>
        <v>9200430</v>
      </c>
      <c r="E349" s="34" t="s">
        <v>467</v>
      </c>
      <c r="F349" s="2" t="s">
        <v>27</v>
      </c>
      <c r="G349" s="76" t="s">
        <v>224</v>
      </c>
      <c r="H349" s="12" t="s">
        <v>27</v>
      </c>
      <c r="I349" s="36">
        <v>1972</v>
      </c>
      <c r="J349" s="36" t="s">
        <v>40</v>
      </c>
      <c r="K349" s="34" t="s">
        <v>91</v>
      </c>
    </row>
    <row r="350" spans="1:11" ht="15.75">
      <c r="A350" s="33">
        <v>348</v>
      </c>
      <c r="B350" s="16" t="s">
        <v>453</v>
      </c>
      <c r="C350" s="34" t="s">
        <v>397</v>
      </c>
      <c r="D350" t="str">
        <f>"9200574"</f>
        <v>9200574</v>
      </c>
      <c r="E350" s="34" t="s">
        <v>467</v>
      </c>
      <c r="F350" s="2" t="s">
        <v>27</v>
      </c>
      <c r="G350" s="76" t="s">
        <v>224</v>
      </c>
      <c r="H350" s="12" t="s">
        <v>27</v>
      </c>
      <c r="I350" s="36">
        <v>1986</v>
      </c>
      <c r="J350" s="36" t="s">
        <v>39</v>
      </c>
      <c r="K350" s="34" t="s">
        <v>91</v>
      </c>
    </row>
    <row r="351" spans="1:11" ht="15.75">
      <c r="A351" s="33">
        <v>349</v>
      </c>
      <c r="B351" s="16" t="s">
        <v>453</v>
      </c>
      <c r="C351" s="34" t="s">
        <v>454</v>
      </c>
      <c r="D351"/>
      <c r="E351" s="34" t="s">
        <v>467</v>
      </c>
      <c r="F351" s="2" t="s">
        <v>27</v>
      </c>
      <c r="G351" s="76" t="s">
        <v>224</v>
      </c>
      <c r="H351" s="12" t="s">
        <v>27</v>
      </c>
      <c r="I351" s="36">
        <v>1983</v>
      </c>
      <c r="J351" s="36" t="s">
        <v>40</v>
      </c>
      <c r="K351" s="34" t="s">
        <v>91</v>
      </c>
    </row>
    <row r="352" spans="1:11" ht="15.75">
      <c r="A352" s="33">
        <v>350</v>
      </c>
      <c r="B352" s="16" t="s">
        <v>453</v>
      </c>
      <c r="C352" s="34" t="s">
        <v>398</v>
      </c>
      <c r="D352" s="116" t="str">
        <f>"9200530"</f>
        <v>9200530</v>
      </c>
      <c r="E352" s="34" t="s">
        <v>467</v>
      </c>
      <c r="F352" s="2" t="s">
        <v>27</v>
      </c>
      <c r="G352" s="76" t="s">
        <v>224</v>
      </c>
      <c r="H352" s="12" t="s">
        <v>27</v>
      </c>
      <c r="I352" s="36">
        <v>1989</v>
      </c>
      <c r="J352" s="36" t="s">
        <v>40</v>
      </c>
      <c r="K352" s="34" t="s">
        <v>91</v>
      </c>
    </row>
    <row r="353" spans="1:11" ht="15.75">
      <c r="A353" s="33">
        <v>351</v>
      </c>
      <c r="B353" s="16" t="s">
        <v>453</v>
      </c>
      <c r="C353" s="34" t="s">
        <v>399</v>
      </c>
      <c r="D353" t="str">
        <f>"9521115"</f>
        <v>9521115</v>
      </c>
      <c r="E353" s="34" t="s">
        <v>467</v>
      </c>
      <c r="F353" s="2" t="s">
        <v>27</v>
      </c>
      <c r="G353" s="76" t="s">
        <v>224</v>
      </c>
      <c r="H353" s="12" t="s">
        <v>27</v>
      </c>
      <c r="I353" s="36">
        <v>2004</v>
      </c>
      <c r="J353" s="36" t="s">
        <v>39</v>
      </c>
      <c r="K353" s="34" t="s">
        <v>91</v>
      </c>
    </row>
    <row r="354" spans="1:11" ht="15.75">
      <c r="A354" s="33">
        <v>352</v>
      </c>
      <c r="B354" s="16" t="s">
        <v>453</v>
      </c>
      <c r="C354" s="34" t="s">
        <v>406</v>
      </c>
      <c r="D354" t="str">
        <f>"9200546"</f>
        <v>9200546</v>
      </c>
      <c r="E354" s="34" t="s">
        <v>467</v>
      </c>
      <c r="F354" s="2" t="s">
        <v>27</v>
      </c>
      <c r="G354" s="76" t="s">
        <v>224</v>
      </c>
      <c r="H354" s="12" t="s">
        <v>222</v>
      </c>
      <c r="I354" s="36">
        <v>1994</v>
      </c>
      <c r="J354" s="36" t="s">
        <v>40</v>
      </c>
      <c r="K354" s="34" t="s">
        <v>91</v>
      </c>
    </row>
    <row r="355" spans="1:11" ht="15.75">
      <c r="A355" s="33">
        <v>353</v>
      </c>
      <c r="B355" s="16" t="s">
        <v>453</v>
      </c>
      <c r="C355" s="34" t="s">
        <v>401</v>
      </c>
      <c r="D355" t="str">
        <f>"9200542"</f>
        <v>9200542</v>
      </c>
      <c r="E355" s="34" t="s">
        <v>467</v>
      </c>
      <c r="F355" s="2" t="s">
        <v>27</v>
      </c>
      <c r="G355" s="76" t="s">
        <v>224</v>
      </c>
      <c r="H355" s="12" t="s">
        <v>27</v>
      </c>
      <c r="I355" s="81"/>
      <c r="J355" s="36" t="s">
        <v>39</v>
      </c>
      <c r="K355" s="34" t="s">
        <v>91</v>
      </c>
    </row>
    <row r="356" spans="1:11" ht="15.75">
      <c r="A356" s="33">
        <v>354</v>
      </c>
      <c r="B356" s="16" t="s">
        <v>453</v>
      </c>
      <c r="C356" s="34" t="s">
        <v>404</v>
      </c>
      <c r="D356" t="str">
        <f>"9200406"</f>
        <v>9200406</v>
      </c>
      <c r="E356" s="34" t="s">
        <v>467</v>
      </c>
      <c r="F356" s="2" t="s">
        <v>27</v>
      </c>
      <c r="G356" s="76" t="s">
        <v>224</v>
      </c>
      <c r="H356" s="12" t="s">
        <v>27</v>
      </c>
      <c r="I356" s="36">
        <v>1937</v>
      </c>
      <c r="J356" s="36" t="s">
        <v>40</v>
      </c>
      <c r="K356" s="34" t="s">
        <v>91</v>
      </c>
    </row>
    <row r="357" spans="1:11" ht="15.75">
      <c r="A357" s="33">
        <v>355</v>
      </c>
      <c r="B357" s="16" t="s">
        <v>453</v>
      </c>
      <c r="C357" s="34" t="s">
        <v>455</v>
      </c>
      <c r="D357" t="str">
        <f>"9200551"</f>
        <v>9200551</v>
      </c>
      <c r="E357" s="34" t="s">
        <v>467</v>
      </c>
      <c r="F357" s="2" t="s">
        <v>27</v>
      </c>
      <c r="G357" s="76" t="s">
        <v>224</v>
      </c>
      <c r="H357" s="12" t="s">
        <v>222</v>
      </c>
      <c r="I357" s="36">
        <v>1998</v>
      </c>
      <c r="J357" s="36" t="s">
        <v>39</v>
      </c>
      <c r="K357" s="34" t="s">
        <v>91</v>
      </c>
    </row>
    <row r="358" spans="1:11" ht="15.75">
      <c r="A358" s="33">
        <v>356</v>
      </c>
      <c r="B358" s="16" t="s">
        <v>453</v>
      </c>
      <c r="C358" s="34" t="s">
        <v>381</v>
      </c>
      <c r="D358" t="str">
        <f>"9200003"</f>
        <v>9200003</v>
      </c>
      <c r="E358" s="34" t="s">
        <v>467</v>
      </c>
      <c r="F358" s="2" t="s">
        <v>27</v>
      </c>
      <c r="G358" s="76" t="s">
        <v>224</v>
      </c>
      <c r="H358" s="12" t="s">
        <v>27</v>
      </c>
      <c r="I358" s="36">
        <v>1976</v>
      </c>
      <c r="J358" s="36" t="s">
        <v>40</v>
      </c>
      <c r="K358" s="34" t="s">
        <v>91</v>
      </c>
    </row>
    <row r="359" spans="1:11" ht="15.75">
      <c r="A359" s="33">
        <v>357</v>
      </c>
      <c r="B359" s="16" t="s">
        <v>453</v>
      </c>
      <c r="C359" s="34" t="s">
        <v>414</v>
      </c>
      <c r="D359" s="116" t="str">
        <f>"9200439"</f>
        <v>9200439</v>
      </c>
      <c r="E359" s="34" t="s">
        <v>467</v>
      </c>
      <c r="F359" s="2" t="s">
        <v>27</v>
      </c>
      <c r="G359" s="76" t="s">
        <v>224</v>
      </c>
      <c r="H359" s="12" t="s">
        <v>469</v>
      </c>
      <c r="I359" s="36">
        <v>1986</v>
      </c>
      <c r="J359" s="36" t="s">
        <v>39</v>
      </c>
      <c r="K359" s="34" t="s">
        <v>91</v>
      </c>
    </row>
    <row r="360" spans="1:11" ht="15.75">
      <c r="A360" s="33">
        <v>358</v>
      </c>
      <c r="B360" s="16" t="s">
        <v>453</v>
      </c>
      <c r="C360" s="34" t="s">
        <v>407</v>
      </c>
      <c r="D360" t="str">
        <f>"9521730"</f>
        <v>9521730</v>
      </c>
      <c r="E360" s="34" t="s">
        <v>467</v>
      </c>
      <c r="F360" s="2" t="s">
        <v>27</v>
      </c>
      <c r="G360" s="76" t="s">
        <v>224</v>
      </c>
      <c r="H360" s="12" t="s">
        <v>222</v>
      </c>
      <c r="I360" s="36">
        <v>1970</v>
      </c>
      <c r="J360" s="36" t="s">
        <v>40</v>
      </c>
      <c r="K360" s="34" t="s">
        <v>91</v>
      </c>
    </row>
    <row r="361" spans="1:11" ht="15.75">
      <c r="A361" s="33">
        <v>359</v>
      </c>
      <c r="B361" s="16" t="s">
        <v>453</v>
      </c>
      <c r="C361" s="34" t="s">
        <v>382</v>
      </c>
      <c r="D361" t="str">
        <f>"9200004"</f>
        <v>9200004</v>
      </c>
      <c r="E361" s="34" t="s">
        <v>467</v>
      </c>
      <c r="F361" s="2" t="s">
        <v>27</v>
      </c>
      <c r="G361" s="76" t="s">
        <v>224</v>
      </c>
      <c r="H361" s="12" t="s">
        <v>27</v>
      </c>
      <c r="I361" s="36">
        <v>1957</v>
      </c>
      <c r="J361" s="36" t="s">
        <v>39</v>
      </c>
      <c r="K361" s="34" t="s">
        <v>91</v>
      </c>
    </row>
    <row r="362" spans="1:11" ht="15.75">
      <c r="A362" s="33">
        <v>360</v>
      </c>
      <c r="B362" s="16" t="s">
        <v>453</v>
      </c>
      <c r="C362" s="34" t="s">
        <v>402</v>
      </c>
      <c r="D362" t="str">
        <f>"9200428"</f>
        <v>9200428</v>
      </c>
      <c r="E362" s="34" t="s">
        <v>467</v>
      </c>
      <c r="F362" s="2" t="s">
        <v>27</v>
      </c>
      <c r="G362" s="76" t="s">
        <v>224</v>
      </c>
      <c r="H362" s="12" t="s">
        <v>27</v>
      </c>
      <c r="I362" s="36">
        <v>1937</v>
      </c>
      <c r="J362" s="36" t="s">
        <v>40</v>
      </c>
      <c r="K362" s="34" t="s">
        <v>91</v>
      </c>
    </row>
    <row r="363" spans="1:11" ht="15.75">
      <c r="A363" s="33">
        <v>361</v>
      </c>
      <c r="B363" s="16" t="s">
        <v>453</v>
      </c>
      <c r="C363" s="34" t="s">
        <v>383</v>
      </c>
      <c r="D363" t="str">
        <f>"9200503"</f>
        <v>9200503</v>
      </c>
      <c r="E363" s="34" t="s">
        <v>467</v>
      </c>
      <c r="F363" s="2" t="s">
        <v>27</v>
      </c>
      <c r="G363" s="76" t="s">
        <v>224</v>
      </c>
      <c r="H363" s="12" t="s">
        <v>27</v>
      </c>
      <c r="I363" s="81"/>
      <c r="J363" s="36" t="s">
        <v>40</v>
      </c>
      <c r="K363" s="34" t="s">
        <v>139</v>
      </c>
    </row>
    <row r="364" spans="1:11" ht="15.75">
      <c r="A364" s="33">
        <v>362</v>
      </c>
      <c r="B364" s="16" t="s">
        <v>453</v>
      </c>
      <c r="C364" s="34" t="s">
        <v>384</v>
      </c>
      <c r="D364" t="str">
        <f>"9200429"</f>
        <v>9200429</v>
      </c>
      <c r="E364" s="34" t="s">
        <v>467</v>
      </c>
      <c r="F364" s="2" t="s">
        <v>27</v>
      </c>
      <c r="G364" s="76" t="s">
        <v>224</v>
      </c>
      <c r="H364" s="12" t="s">
        <v>27</v>
      </c>
      <c r="I364" s="36">
        <v>1980</v>
      </c>
      <c r="J364" s="36" t="s">
        <v>40</v>
      </c>
      <c r="K364" s="34" t="s">
        <v>91</v>
      </c>
    </row>
    <row r="365" spans="1:11" ht="15.75">
      <c r="A365" s="33">
        <v>363</v>
      </c>
      <c r="B365" s="16" t="s">
        <v>453</v>
      </c>
      <c r="C365" s="34" t="s">
        <v>385</v>
      </c>
      <c r="D365" t="str">
        <f>"9200506"</f>
        <v>9200506</v>
      </c>
      <c r="E365" s="34" t="s">
        <v>467</v>
      </c>
      <c r="F365" s="2" t="s">
        <v>27</v>
      </c>
      <c r="G365" s="76" t="s">
        <v>224</v>
      </c>
      <c r="H365" s="12" t="s">
        <v>27</v>
      </c>
      <c r="I365" s="36">
        <v>1982</v>
      </c>
      <c r="J365" s="36" t="s">
        <v>40</v>
      </c>
      <c r="K365" s="34" t="s">
        <v>91</v>
      </c>
    </row>
    <row r="366" spans="1:11" ht="15.75">
      <c r="A366" s="33">
        <v>364</v>
      </c>
      <c r="B366" s="16" t="s">
        <v>453</v>
      </c>
      <c r="C366" s="34" t="s">
        <v>386</v>
      </c>
      <c r="D366" t="str">
        <f>"9200464"</f>
        <v>9200464</v>
      </c>
      <c r="E366" s="34" t="s">
        <v>467</v>
      </c>
      <c r="F366" s="2" t="s">
        <v>27</v>
      </c>
      <c r="G366" s="76" t="s">
        <v>224</v>
      </c>
      <c r="H366" s="12" t="s">
        <v>27</v>
      </c>
      <c r="I366" s="36">
        <v>1937</v>
      </c>
      <c r="J366" s="36" t="s">
        <v>40</v>
      </c>
      <c r="K366" s="34" t="s">
        <v>91</v>
      </c>
    </row>
    <row r="367" spans="1:11" ht="15.75">
      <c r="A367" s="33">
        <v>365</v>
      </c>
      <c r="B367" s="16" t="s">
        <v>453</v>
      </c>
      <c r="C367" s="34" t="s">
        <v>387</v>
      </c>
      <c r="D367" t="str">
        <f>"9200005"</f>
        <v>9200005</v>
      </c>
      <c r="E367" s="34" t="s">
        <v>467</v>
      </c>
      <c r="F367" s="2" t="s">
        <v>27</v>
      </c>
      <c r="G367" s="76" t="s">
        <v>224</v>
      </c>
      <c r="H367" s="12" t="s">
        <v>27</v>
      </c>
      <c r="I367" s="36">
        <v>1981</v>
      </c>
      <c r="J367" s="36" t="s">
        <v>39</v>
      </c>
      <c r="K367" s="34" t="s">
        <v>91</v>
      </c>
    </row>
    <row r="368" spans="1:11" ht="15.75">
      <c r="A368" s="33">
        <v>366</v>
      </c>
      <c r="B368" s="16" t="s">
        <v>453</v>
      </c>
      <c r="C368" s="34" t="s">
        <v>416</v>
      </c>
      <c r="D368" s="76" t="str">
        <f>"9200042"</f>
        <v>9200042</v>
      </c>
      <c r="E368" s="34" t="s">
        <v>467</v>
      </c>
      <c r="F368" s="2" t="s">
        <v>27</v>
      </c>
      <c r="G368" s="76" t="s">
        <v>224</v>
      </c>
      <c r="H368" s="12" t="s">
        <v>496</v>
      </c>
      <c r="I368" s="36">
        <v>1963</v>
      </c>
      <c r="J368" s="36" t="s">
        <v>39</v>
      </c>
      <c r="K368" s="34" t="s">
        <v>91</v>
      </c>
    </row>
    <row r="369" spans="1:11" ht="15.75">
      <c r="A369" s="33">
        <v>367</v>
      </c>
      <c r="B369" s="16" t="s">
        <v>453</v>
      </c>
      <c r="C369" s="34" t="s">
        <v>418</v>
      </c>
      <c r="D369" s="116" t="str">
        <f>"9200075"</f>
        <v>9200075</v>
      </c>
      <c r="E369" s="34" t="s">
        <v>467</v>
      </c>
      <c r="F369" s="2" t="s">
        <v>27</v>
      </c>
      <c r="G369" s="76" t="s">
        <v>224</v>
      </c>
      <c r="H369" s="12" t="s">
        <v>498</v>
      </c>
      <c r="I369" s="36">
        <v>1982</v>
      </c>
      <c r="J369" s="36" t="s">
        <v>40</v>
      </c>
      <c r="K369" s="34" t="s">
        <v>91</v>
      </c>
    </row>
    <row r="370" spans="1:11" ht="15.75">
      <c r="A370" s="33">
        <v>368</v>
      </c>
      <c r="B370" s="16" t="s">
        <v>453</v>
      </c>
      <c r="C370" s="34" t="s">
        <v>456</v>
      </c>
      <c r="D370">
        <v>9200386</v>
      </c>
      <c r="E370" s="34" t="s">
        <v>467</v>
      </c>
      <c r="F370" s="2" t="s">
        <v>27</v>
      </c>
      <c r="G370" s="76" t="s">
        <v>224</v>
      </c>
      <c r="H370" s="12" t="s">
        <v>499</v>
      </c>
      <c r="I370" s="36">
        <v>1953</v>
      </c>
      <c r="J370" s="36" t="s">
        <v>40</v>
      </c>
      <c r="K370" s="34" t="s">
        <v>91</v>
      </c>
    </row>
    <row r="371" spans="1:11" ht="15.75">
      <c r="A371" s="33">
        <v>369</v>
      </c>
      <c r="B371" s="16" t="s">
        <v>453</v>
      </c>
      <c r="C371" s="34" t="s">
        <v>424</v>
      </c>
      <c r="D371" s="116" t="str">
        <f>"9200091"</f>
        <v>9200091</v>
      </c>
      <c r="E371" s="34" t="s">
        <v>467</v>
      </c>
      <c r="F371" s="2" t="s">
        <v>27</v>
      </c>
      <c r="G371" s="76" t="s">
        <v>224</v>
      </c>
      <c r="H371" s="12" t="s">
        <v>475</v>
      </c>
      <c r="I371" s="36">
        <v>1951</v>
      </c>
      <c r="J371" s="36" t="s">
        <v>40</v>
      </c>
      <c r="K371" s="34" t="s">
        <v>91</v>
      </c>
    </row>
    <row r="372" spans="1:11" ht="15.75">
      <c r="A372" s="33">
        <v>370</v>
      </c>
      <c r="B372" s="16" t="s">
        <v>453</v>
      </c>
      <c r="C372" s="34" t="s">
        <v>430</v>
      </c>
      <c r="D372" t="str">
        <f>"9200257"</f>
        <v>9200257</v>
      </c>
      <c r="E372" s="34" t="s">
        <v>467</v>
      </c>
      <c r="F372" s="2" t="s">
        <v>27</v>
      </c>
      <c r="G372" s="76" t="s">
        <v>224</v>
      </c>
      <c r="H372" s="12" t="s">
        <v>240</v>
      </c>
      <c r="I372" s="36">
        <v>1987</v>
      </c>
      <c r="J372" s="36" t="s">
        <v>40</v>
      </c>
      <c r="K372" s="34" t="s">
        <v>91</v>
      </c>
    </row>
    <row r="373" spans="1:11" ht="15.75">
      <c r="A373" s="33">
        <v>371</v>
      </c>
      <c r="B373" s="16" t="s">
        <v>453</v>
      </c>
      <c r="C373" s="34" t="s">
        <v>460</v>
      </c>
      <c r="D373" s="96"/>
      <c r="E373" s="34" t="s">
        <v>467</v>
      </c>
      <c r="F373" s="2" t="s">
        <v>27</v>
      </c>
      <c r="G373" s="76" t="s">
        <v>224</v>
      </c>
      <c r="H373" s="12" t="s">
        <v>482</v>
      </c>
      <c r="I373" s="36">
        <v>1987</v>
      </c>
      <c r="J373" s="36" t="s">
        <v>40</v>
      </c>
      <c r="K373" s="34" t="s">
        <v>91</v>
      </c>
    </row>
    <row r="374" spans="1:11" ht="15.75">
      <c r="A374" s="33">
        <v>372</v>
      </c>
      <c r="B374" s="16" t="s">
        <v>453</v>
      </c>
      <c r="C374" s="34" t="s">
        <v>434</v>
      </c>
      <c r="D374" t="str">
        <f>"9200135"</f>
        <v>9200135</v>
      </c>
      <c r="E374" s="34" t="s">
        <v>467</v>
      </c>
      <c r="F374" s="2" t="s">
        <v>27</v>
      </c>
      <c r="G374" s="76" t="s">
        <v>224</v>
      </c>
      <c r="H374" s="12" t="s">
        <v>237</v>
      </c>
      <c r="I374" s="36">
        <v>2008</v>
      </c>
      <c r="J374" s="36" t="s">
        <v>39</v>
      </c>
      <c r="K374" s="34" t="s">
        <v>91</v>
      </c>
    </row>
    <row r="375" spans="1:11" ht="15.75">
      <c r="A375" s="33">
        <v>373</v>
      </c>
      <c r="B375" s="16" t="s">
        <v>453</v>
      </c>
      <c r="C375" s="34" t="s">
        <v>435</v>
      </c>
      <c r="D375" t="str">
        <f>"9200039"</f>
        <v>9200039</v>
      </c>
      <c r="E375" s="34" t="s">
        <v>467</v>
      </c>
      <c r="F375" s="2" t="s">
        <v>27</v>
      </c>
      <c r="G375" s="76" t="s">
        <v>224</v>
      </c>
      <c r="H375" s="12" t="s">
        <v>483</v>
      </c>
      <c r="I375" s="81"/>
      <c r="J375" s="36" t="s">
        <v>40</v>
      </c>
      <c r="K375" s="34" t="s">
        <v>91</v>
      </c>
    </row>
    <row r="376" spans="1:11" ht="15.75">
      <c r="A376" s="33">
        <v>374</v>
      </c>
      <c r="B376" s="16" t="s">
        <v>453</v>
      </c>
      <c r="C376" s="34" t="s">
        <v>436</v>
      </c>
      <c r="D376" t="str">
        <f>"9200047"</f>
        <v>9200047</v>
      </c>
      <c r="E376" s="34" t="s">
        <v>467</v>
      </c>
      <c r="F376" s="2" t="s">
        <v>27</v>
      </c>
      <c r="G376" s="76" t="s">
        <v>224</v>
      </c>
      <c r="H376" s="12" t="s">
        <v>238</v>
      </c>
      <c r="I376" s="36">
        <v>1989</v>
      </c>
      <c r="J376" s="36" t="s">
        <v>39</v>
      </c>
      <c r="K376" s="34" t="s">
        <v>91</v>
      </c>
    </row>
    <row r="377" spans="1:11" ht="15.75">
      <c r="A377" s="33">
        <v>375</v>
      </c>
      <c r="B377" s="16" t="s">
        <v>453</v>
      </c>
      <c r="C377" s="34" t="s">
        <v>442</v>
      </c>
      <c r="D377" t="str">
        <f>"9200152"</f>
        <v>9200152</v>
      </c>
      <c r="E377" s="34" t="s">
        <v>467</v>
      </c>
      <c r="F377" s="2" t="s">
        <v>27</v>
      </c>
      <c r="G377" s="76" t="s">
        <v>224</v>
      </c>
      <c r="H377" s="12" t="s">
        <v>493</v>
      </c>
      <c r="I377" s="36">
        <v>2005</v>
      </c>
      <c r="J377" s="36" t="s">
        <v>39</v>
      </c>
      <c r="K377" s="34" t="s">
        <v>91</v>
      </c>
    </row>
    <row r="378" spans="1:11" ht="15.75">
      <c r="A378" s="33">
        <v>376</v>
      </c>
      <c r="B378" s="16" t="s">
        <v>453</v>
      </c>
      <c r="C378" s="34" t="s">
        <v>446</v>
      </c>
      <c r="D378" t="str">
        <f>"9200263"</f>
        <v>9200263</v>
      </c>
      <c r="E378" s="34" t="s">
        <v>467</v>
      </c>
      <c r="F378" s="2" t="s">
        <v>27</v>
      </c>
      <c r="G378" s="76" t="s">
        <v>224</v>
      </c>
      <c r="H378" s="12" t="s">
        <v>239</v>
      </c>
      <c r="I378" s="36">
        <v>2005</v>
      </c>
      <c r="J378" s="36" t="s">
        <v>40</v>
      </c>
      <c r="K378" s="34" t="s">
        <v>91</v>
      </c>
    </row>
    <row r="379" spans="1:11" ht="15.75">
      <c r="A379" s="33">
        <v>377</v>
      </c>
      <c r="B379" s="16" t="s">
        <v>453</v>
      </c>
      <c r="C379" s="34" t="s">
        <v>447</v>
      </c>
      <c r="D379" t="str">
        <f>"9200065"</f>
        <v>9200065</v>
      </c>
      <c r="E379" s="34" t="s">
        <v>467</v>
      </c>
      <c r="F379" s="2" t="s">
        <v>27</v>
      </c>
      <c r="G379" s="76" t="s">
        <v>224</v>
      </c>
      <c r="H379" s="12" t="s">
        <v>332</v>
      </c>
      <c r="I379" s="36">
        <v>1991</v>
      </c>
      <c r="J379" s="36" t="s">
        <v>39</v>
      </c>
      <c r="K379" s="34" t="s">
        <v>91</v>
      </c>
    </row>
    <row r="380" spans="1:11" ht="15.75">
      <c r="A380" s="33">
        <v>378</v>
      </c>
      <c r="B380" s="16" t="s">
        <v>453</v>
      </c>
      <c r="C380" s="34" t="s">
        <v>451</v>
      </c>
      <c r="D380" t="str">
        <f>"9200279"</f>
        <v>9200279</v>
      </c>
      <c r="E380" s="34" t="s">
        <v>467</v>
      </c>
      <c r="F380" s="2" t="s">
        <v>27</v>
      </c>
      <c r="G380" s="76" t="s">
        <v>224</v>
      </c>
      <c r="H380" s="12" t="s">
        <v>244</v>
      </c>
      <c r="I380" s="36">
        <v>1952</v>
      </c>
      <c r="J380" s="36" t="s">
        <v>40</v>
      </c>
      <c r="K380" s="34" t="s">
        <v>91</v>
      </c>
    </row>
    <row r="381" spans="1:11" ht="15.75">
      <c r="A381" s="33">
        <v>379</v>
      </c>
      <c r="B381" s="16" t="s">
        <v>453</v>
      </c>
      <c r="C381" s="34" t="s">
        <v>464</v>
      </c>
      <c r="D381" t="str">
        <f>"9200567"</f>
        <v>9200567</v>
      </c>
      <c r="E381" s="34" t="s">
        <v>467</v>
      </c>
      <c r="F381" s="2" t="s">
        <v>27</v>
      </c>
      <c r="G381" s="76" t="s">
        <v>224</v>
      </c>
      <c r="H381" s="12" t="s">
        <v>27</v>
      </c>
      <c r="I381" s="36">
        <v>2007</v>
      </c>
      <c r="J381" s="36" t="s">
        <v>39</v>
      </c>
      <c r="K381" s="34" t="s">
        <v>91</v>
      </c>
    </row>
    <row r="382" spans="1:11" ht="15.75">
      <c r="A382" s="33">
        <v>380</v>
      </c>
      <c r="B382" s="16" t="s">
        <v>453</v>
      </c>
      <c r="C382" s="34" t="s">
        <v>410</v>
      </c>
      <c r="D382" t="str">
        <f>"9200295"</f>
        <v>9200295</v>
      </c>
      <c r="E382" s="34" t="s">
        <v>467</v>
      </c>
      <c r="F382" s="2" t="s">
        <v>27</v>
      </c>
      <c r="G382" s="76" t="s">
        <v>229</v>
      </c>
      <c r="H382" s="12" t="s">
        <v>229</v>
      </c>
      <c r="I382" s="36">
        <v>1845</v>
      </c>
      <c r="J382" s="36" t="s">
        <v>40</v>
      </c>
      <c r="K382" s="34" t="s">
        <v>91</v>
      </c>
    </row>
    <row r="383" spans="1:11" ht="15.75">
      <c r="A383" s="33">
        <v>381</v>
      </c>
      <c r="B383" s="16" t="s">
        <v>453</v>
      </c>
      <c r="C383" s="34" t="s">
        <v>411</v>
      </c>
      <c r="D383" t="str">
        <f>"9200296"</f>
        <v>9200296</v>
      </c>
      <c r="E383" s="34" t="s">
        <v>467</v>
      </c>
      <c r="F383" s="2" t="s">
        <v>27</v>
      </c>
      <c r="G383" s="76" t="s">
        <v>229</v>
      </c>
      <c r="H383" s="12" t="s">
        <v>229</v>
      </c>
      <c r="I383" s="36">
        <v>1928</v>
      </c>
      <c r="J383" s="36" t="s">
        <v>40</v>
      </c>
      <c r="K383" s="34" t="s">
        <v>91</v>
      </c>
    </row>
    <row r="384" spans="1:11" ht="15.75">
      <c r="A384" s="33">
        <v>382</v>
      </c>
      <c r="B384" s="16" t="s">
        <v>453</v>
      </c>
      <c r="C384" s="34" t="s">
        <v>412</v>
      </c>
      <c r="D384" t="str">
        <f>"9200298"</f>
        <v>9200298</v>
      </c>
      <c r="E384" s="34" t="s">
        <v>467</v>
      </c>
      <c r="F384" s="2" t="s">
        <v>27</v>
      </c>
      <c r="G384" s="76" t="s">
        <v>229</v>
      </c>
      <c r="H384" s="12" t="s">
        <v>229</v>
      </c>
      <c r="I384" s="36">
        <v>1987</v>
      </c>
      <c r="J384" s="36" t="s">
        <v>39</v>
      </c>
      <c r="K384" s="34" t="s">
        <v>91</v>
      </c>
    </row>
    <row r="385" spans="1:11" ht="15.75">
      <c r="A385" s="33">
        <v>383</v>
      </c>
      <c r="B385" s="16" t="s">
        <v>453</v>
      </c>
      <c r="C385" s="34" t="s">
        <v>423</v>
      </c>
      <c r="D385" t="str">
        <f>"9200020"</f>
        <v>9200020</v>
      </c>
      <c r="E385" s="34" t="s">
        <v>467</v>
      </c>
      <c r="F385" s="2" t="s">
        <v>27</v>
      </c>
      <c r="G385" s="76" t="s">
        <v>229</v>
      </c>
      <c r="H385" s="12" t="s">
        <v>342</v>
      </c>
      <c r="I385" s="36">
        <v>1954</v>
      </c>
      <c r="J385" s="36" t="s">
        <v>40</v>
      </c>
      <c r="K385" s="34" t="s">
        <v>91</v>
      </c>
    </row>
    <row r="386" spans="1:11" ht="15.75">
      <c r="A386" s="33">
        <v>384</v>
      </c>
      <c r="B386" s="16" t="s">
        <v>453</v>
      </c>
      <c r="C386" s="34" t="s">
        <v>452</v>
      </c>
      <c r="D386" t="str">
        <f>"9200096"</f>
        <v>9200096</v>
      </c>
      <c r="E386" s="34" t="s">
        <v>467</v>
      </c>
      <c r="F386" s="2" t="s">
        <v>27</v>
      </c>
      <c r="G386" s="76" t="s">
        <v>227</v>
      </c>
      <c r="H386" s="12" t="s">
        <v>233</v>
      </c>
      <c r="I386" s="36">
        <v>1954</v>
      </c>
      <c r="J386" s="36" t="s">
        <v>40</v>
      </c>
      <c r="K386" s="34" t="s">
        <v>91</v>
      </c>
    </row>
    <row r="387" spans="1:11" s="25" customFormat="1" ht="15.75">
      <c r="A387" s="33">
        <v>385</v>
      </c>
      <c r="B387" s="16" t="s">
        <v>453</v>
      </c>
      <c r="C387" s="34" t="s">
        <v>419</v>
      </c>
      <c r="D387" t="str">
        <f>"9200088"</f>
        <v>9200088</v>
      </c>
      <c r="E387" s="34" t="s">
        <v>467</v>
      </c>
      <c r="F387" s="2" t="s">
        <v>27</v>
      </c>
      <c r="G387" s="76" t="s">
        <v>227</v>
      </c>
      <c r="H387" s="12" t="s">
        <v>472</v>
      </c>
      <c r="I387" s="36">
        <v>1958</v>
      </c>
      <c r="J387" s="36" t="s">
        <v>40</v>
      </c>
      <c r="K387" s="34" t="s">
        <v>91</v>
      </c>
    </row>
    <row r="388" spans="1:11" ht="15.75">
      <c r="A388" s="33">
        <v>386</v>
      </c>
      <c r="B388" s="16" t="s">
        <v>453</v>
      </c>
      <c r="C388" s="34" t="s">
        <v>420</v>
      </c>
      <c r="D388" t="str">
        <f>"9200091"</f>
        <v>9200091</v>
      </c>
      <c r="E388" s="34" t="s">
        <v>467</v>
      </c>
      <c r="F388" s="2" t="s">
        <v>27</v>
      </c>
      <c r="G388" s="76" t="s">
        <v>227</v>
      </c>
      <c r="H388" s="12" t="s">
        <v>473</v>
      </c>
      <c r="I388" s="36">
        <v>1946</v>
      </c>
      <c r="J388" s="36" t="s">
        <v>40</v>
      </c>
      <c r="K388" s="34" t="s">
        <v>91</v>
      </c>
    </row>
    <row r="389" spans="1:11" ht="15.75">
      <c r="A389" s="33">
        <v>387</v>
      </c>
      <c r="B389" s="16" t="s">
        <v>453</v>
      </c>
      <c r="C389" s="34" t="s">
        <v>438</v>
      </c>
      <c r="D389" t="str">
        <f>"9200081"</f>
        <v>9200081</v>
      </c>
      <c r="E389" s="34" t="s">
        <v>467</v>
      </c>
      <c r="F389" s="2" t="s">
        <v>27</v>
      </c>
      <c r="G389" s="76" t="s">
        <v>227</v>
      </c>
      <c r="H389" s="12" t="s">
        <v>227</v>
      </c>
      <c r="I389" s="36">
        <v>1955</v>
      </c>
      <c r="J389" s="36" t="s">
        <v>40</v>
      </c>
      <c r="K389" s="34" t="s">
        <v>91</v>
      </c>
    </row>
    <row r="390" spans="1:11" ht="15.75">
      <c r="A390" s="33">
        <v>388</v>
      </c>
      <c r="B390" s="16" t="s">
        <v>453</v>
      </c>
      <c r="C390" s="34" t="s">
        <v>439</v>
      </c>
      <c r="D390" t="str">
        <f>"9200092"</f>
        <v>9200092</v>
      </c>
      <c r="E390" s="34" t="s">
        <v>467</v>
      </c>
      <c r="F390" s="2" t="s">
        <v>27</v>
      </c>
      <c r="G390" s="76" t="s">
        <v>227</v>
      </c>
      <c r="H390" s="12" t="s">
        <v>360</v>
      </c>
      <c r="I390" s="36">
        <v>1958</v>
      </c>
      <c r="J390" s="36" t="s">
        <v>40</v>
      </c>
      <c r="K390" s="34" t="s">
        <v>91</v>
      </c>
    </row>
    <row r="391" spans="1:11" ht="15.75">
      <c r="A391" s="33">
        <v>389</v>
      </c>
      <c r="B391" s="16" t="s">
        <v>453</v>
      </c>
      <c r="C391" s="34" t="s">
        <v>441</v>
      </c>
      <c r="D391" t="str">
        <f>"9200062"</f>
        <v>9200062</v>
      </c>
      <c r="E391" s="34" t="s">
        <v>467</v>
      </c>
      <c r="F391" s="2" t="s">
        <v>27</v>
      </c>
      <c r="G391" s="76" t="s">
        <v>227</v>
      </c>
      <c r="H391" s="12" t="s">
        <v>502</v>
      </c>
      <c r="I391" s="81"/>
      <c r="J391" s="36" t="s">
        <v>40</v>
      </c>
      <c r="K391" s="34" t="s">
        <v>91</v>
      </c>
    </row>
    <row r="392" spans="1:11" ht="15.75">
      <c r="A392" s="33">
        <v>390</v>
      </c>
      <c r="B392" s="16" t="s">
        <v>453</v>
      </c>
      <c r="C392" s="34" t="s">
        <v>457</v>
      </c>
      <c r="D392" s="96"/>
      <c r="E392" s="34" t="s">
        <v>467</v>
      </c>
      <c r="F392" s="2" t="s">
        <v>27</v>
      </c>
      <c r="G392" s="76" t="s">
        <v>225</v>
      </c>
      <c r="H392" s="12" t="s">
        <v>235</v>
      </c>
      <c r="I392" s="36">
        <v>1952</v>
      </c>
      <c r="J392" s="36" t="s">
        <v>40</v>
      </c>
      <c r="K392" s="34" t="s">
        <v>91</v>
      </c>
    </row>
    <row r="393" spans="1:11" ht="15.75">
      <c r="A393" s="33">
        <v>391</v>
      </c>
      <c r="B393" s="16" t="s">
        <v>453</v>
      </c>
      <c r="C393" s="34" t="s">
        <v>429</v>
      </c>
      <c r="D393" s="116" t="str">
        <f>"9200215"</f>
        <v>9200215</v>
      </c>
      <c r="E393" s="34" t="s">
        <v>467</v>
      </c>
      <c r="F393" s="2" t="s">
        <v>27</v>
      </c>
      <c r="G393" s="76" t="s">
        <v>225</v>
      </c>
      <c r="H393" s="12" t="s">
        <v>348</v>
      </c>
      <c r="I393" s="36">
        <v>1996</v>
      </c>
      <c r="J393" s="36" t="s">
        <v>40</v>
      </c>
      <c r="K393" s="34" t="s">
        <v>91</v>
      </c>
    </row>
    <row r="394" spans="1:11" ht="15.75">
      <c r="A394" s="33">
        <v>392</v>
      </c>
      <c r="B394" s="16" t="s">
        <v>453</v>
      </c>
      <c r="C394" s="34" t="s">
        <v>432</v>
      </c>
      <c r="D394" t="str">
        <f>"9200395"</f>
        <v>9200395</v>
      </c>
      <c r="E394" s="34" t="s">
        <v>467</v>
      </c>
      <c r="F394" s="2" t="s">
        <v>27</v>
      </c>
      <c r="G394" s="76" t="s">
        <v>225</v>
      </c>
      <c r="H394" s="12" t="s">
        <v>479</v>
      </c>
      <c r="I394" s="36">
        <v>1927</v>
      </c>
      <c r="J394" s="36" t="s">
        <v>40</v>
      </c>
      <c r="K394" s="34" t="s">
        <v>91</v>
      </c>
    </row>
    <row r="395" spans="1:11" ht="15.75">
      <c r="A395" s="33">
        <v>393</v>
      </c>
      <c r="B395" s="16" t="s">
        <v>453</v>
      </c>
      <c r="C395" s="34" t="s">
        <v>459</v>
      </c>
      <c r="D395" s="96"/>
      <c r="E395" s="34" t="s">
        <v>467</v>
      </c>
      <c r="F395" s="2" t="s">
        <v>27</v>
      </c>
      <c r="G395" s="76" t="s">
        <v>225</v>
      </c>
      <c r="H395" s="12" t="s">
        <v>480</v>
      </c>
      <c r="I395" s="36">
        <v>1986</v>
      </c>
      <c r="J395" s="36" t="s">
        <v>40</v>
      </c>
      <c r="K395" s="34" t="s">
        <v>91</v>
      </c>
    </row>
    <row r="396" spans="1:11" ht="15.75">
      <c r="A396" s="33">
        <v>394</v>
      </c>
      <c r="B396" s="16" t="s">
        <v>453</v>
      </c>
      <c r="C396" s="34" t="s">
        <v>445</v>
      </c>
      <c r="D396" t="str">
        <f>"9200378"</f>
        <v>9200378</v>
      </c>
      <c r="E396" s="34" t="s">
        <v>467</v>
      </c>
      <c r="F396" s="2" t="s">
        <v>27</v>
      </c>
      <c r="G396" s="76" t="s">
        <v>225</v>
      </c>
      <c r="H396" s="12" t="s">
        <v>231</v>
      </c>
      <c r="I396" s="36">
        <v>1929</v>
      </c>
      <c r="J396" s="36" t="s">
        <v>40</v>
      </c>
      <c r="K396" s="34" t="s">
        <v>91</v>
      </c>
    </row>
    <row r="397" spans="1:11" ht="29.25">
      <c r="A397" s="33">
        <v>395</v>
      </c>
      <c r="B397" s="16" t="s">
        <v>453</v>
      </c>
      <c r="C397" s="34" t="s">
        <v>466</v>
      </c>
      <c r="D397" s="96"/>
      <c r="E397" s="34" t="s">
        <v>468</v>
      </c>
      <c r="F397" s="2" t="s">
        <v>27</v>
      </c>
      <c r="G397" s="77" t="s">
        <v>226</v>
      </c>
      <c r="H397" s="12" t="s">
        <v>487</v>
      </c>
      <c r="I397" s="36">
        <v>1970</v>
      </c>
      <c r="J397" s="36" t="s">
        <v>40</v>
      </c>
      <c r="K397" s="34" t="s">
        <v>91</v>
      </c>
    </row>
    <row r="398" spans="1:11" ht="29.25">
      <c r="A398" s="33">
        <v>396</v>
      </c>
      <c r="B398" s="16" t="s">
        <v>453</v>
      </c>
      <c r="C398" s="34" t="s">
        <v>374</v>
      </c>
      <c r="D398" t="str">
        <f>"9200168"</f>
        <v>9200168</v>
      </c>
      <c r="E398" s="34" t="s">
        <v>468</v>
      </c>
      <c r="F398" s="2" t="s">
        <v>27</v>
      </c>
      <c r="G398" s="77" t="s">
        <v>226</v>
      </c>
      <c r="H398" s="12" t="s">
        <v>232</v>
      </c>
      <c r="I398" s="36">
        <v>1975</v>
      </c>
      <c r="J398" s="36" t="s">
        <v>40</v>
      </c>
      <c r="K398" s="34" t="s">
        <v>91</v>
      </c>
    </row>
    <row r="399" spans="1:11" ht="15.75">
      <c r="A399" s="33">
        <v>397</v>
      </c>
      <c r="B399" s="16" t="s">
        <v>453</v>
      </c>
      <c r="C399" s="34" t="s">
        <v>328</v>
      </c>
      <c r="D399" t="str">
        <f>"9200554"</f>
        <v>9200554</v>
      </c>
      <c r="E399" s="34" t="s">
        <v>468</v>
      </c>
      <c r="F399" s="2" t="s">
        <v>27</v>
      </c>
      <c r="G399" s="76" t="s">
        <v>329</v>
      </c>
      <c r="H399" s="12" t="s">
        <v>470</v>
      </c>
      <c r="I399" s="36">
        <v>1989</v>
      </c>
      <c r="J399" s="36" t="s">
        <v>39</v>
      </c>
      <c r="K399" s="34" t="s">
        <v>91</v>
      </c>
    </row>
    <row r="400" spans="1:11" ht="15.75">
      <c r="A400" s="33">
        <v>398</v>
      </c>
      <c r="B400" s="16" t="s">
        <v>453</v>
      </c>
      <c r="C400" s="34" t="s">
        <v>346</v>
      </c>
      <c r="D400" t="str">
        <f>"9200434"</f>
        <v>9200434</v>
      </c>
      <c r="E400" s="34" t="s">
        <v>468</v>
      </c>
      <c r="F400" s="2" t="s">
        <v>27</v>
      </c>
      <c r="G400" s="76" t="s">
        <v>329</v>
      </c>
      <c r="H400" s="12" t="s">
        <v>478</v>
      </c>
      <c r="I400" s="81"/>
      <c r="J400" s="36" t="s">
        <v>40</v>
      </c>
      <c r="K400" s="34" t="s">
        <v>91</v>
      </c>
    </row>
    <row r="401" spans="1:11" ht="15.75">
      <c r="A401" s="33">
        <v>399</v>
      </c>
      <c r="B401" s="16" t="s">
        <v>453</v>
      </c>
      <c r="C401" s="34" t="s">
        <v>349</v>
      </c>
      <c r="D401" t="str">
        <f>"9200601"</f>
        <v>9200601</v>
      </c>
      <c r="E401" s="34" t="s">
        <v>468</v>
      </c>
      <c r="F401" s="2" t="s">
        <v>27</v>
      </c>
      <c r="G401" s="76" t="s">
        <v>329</v>
      </c>
      <c r="H401" s="12" t="s">
        <v>501</v>
      </c>
      <c r="I401" s="81"/>
      <c r="J401" s="36" t="s">
        <v>40</v>
      </c>
      <c r="K401" s="34" t="s">
        <v>91</v>
      </c>
    </row>
    <row r="402" spans="1:11" ht="15.75">
      <c r="A402" s="33">
        <v>400</v>
      </c>
      <c r="B402" s="16" t="s">
        <v>453</v>
      </c>
      <c r="C402" s="34" t="s">
        <v>365</v>
      </c>
      <c r="D402" t="str">
        <f>"9200149"</f>
        <v>9200149</v>
      </c>
      <c r="E402" s="34" t="s">
        <v>468</v>
      </c>
      <c r="F402" s="2" t="s">
        <v>27</v>
      </c>
      <c r="G402" s="76" t="s">
        <v>329</v>
      </c>
      <c r="H402" s="12" t="s">
        <v>503</v>
      </c>
      <c r="I402" s="36">
        <v>1951</v>
      </c>
      <c r="J402" s="36" t="s">
        <v>40</v>
      </c>
      <c r="K402" s="34" t="s">
        <v>91</v>
      </c>
    </row>
    <row r="403" spans="1:11" ht="15.75">
      <c r="A403" s="33">
        <v>401</v>
      </c>
      <c r="B403" s="16" t="s">
        <v>453</v>
      </c>
      <c r="C403" s="34" t="s">
        <v>334</v>
      </c>
      <c r="D403" t="str">
        <f>"9200526"</f>
        <v>9200526</v>
      </c>
      <c r="E403" s="34" t="s">
        <v>468</v>
      </c>
      <c r="F403" s="2" t="s">
        <v>27</v>
      </c>
      <c r="G403" s="76" t="s">
        <v>335</v>
      </c>
      <c r="H403" s="12" t="s">
        <v>490</v>
      </c>
      <c r="I403" s="36">
        <v>1954</v>
      </c>
      <c r="J403" s="36" t="s">
        <v>40</v>
      </c>
      <c r="K403" s="34" t="s">
        <v>139</v>
      </c>
    </row>
    <row r="404" spans="1:11" ht="15.75">
      <c r="A404" s="33">
        <v>402</v>
      </c>
      <c r="B404" s="16" t="s">
        <v>453</v>
      </c>
      <c r="C404" s="34" t="s">
        <v>361</v>
      </c>
      <c r="D404" t="str">
        <f>"9520853"</f>
        <v>9520853</v>
      </c>
      <c r="E404" s="34" t="s">
        <v>468</v>
      </c>
      <c r="F404" s="2" t="s">
        <v>27</v>
      </c>
      <c r="G404" s="76" t="s">
        <v>335</v>
      </c>
      <c r="H404" s="12" t="s">
        <v>485</v>
      </c>
      <c r="I404" s="36">
        <v>2007</v>
      </c>
      <c r="J404" s="36" t="s">
        <v>40</v>
      </c>
      <c r="K404" s="34" t="s">
        <v>91</v>
      </c>
    </row>
    <row r="405" spans="1:11" ht="15.75">
      <c r="A405" s="33">
        <v>403</v>
      </c>
      <c r="B405" s="16" t="s">
        <v>453</v>
      </c>
      <c r="C405" s="34" t="s">
        <v>368</v>
      </c>
      <c r="D405" t="str">
        <f>"9520854"</f>
        <v>9520854</v>
      </c>
      <c r="E405" s="34" t="s">
        <v>468</v>
      </c>
      <c r="F405" s="2" t="s">
        <v>27</v>
      </c>
      <c r="G405" s="76" t="s">
        <v>335</v>
      </c>
      <c r="H405" s="12" t="s">
        <v>369</v>
      </c>
      <c r="I405" s="36">
        <v>1897</v>
      </c>
      <c r="J405" s="36" t="s">
        <v>40</v>
      </c>
      <c r="K405" s="34" t="s">
        <v>91</v>
      </c>
    </row>
    <row r="406" spans="1:11" ht="15.75">
      <c r="A406" s="33">
        <v>404</v>
      </c>
      <c r="B406" s="16" t="s">
        <v>453</v>
      </c>
      <c r="C406" s="34" t="s">
        <v>465</v>
      </c>
      <c r="D406" t="str">
        <f>"9200111"</f>
        <v>9200111</v>
      </c>
      <c r="E406" s="34" t="s">
        <v>468</v>
      </c>
      <c r="F406" s="2" t="s">
        <v>27</v>
      </c>
      <c r="G406" s="76" t="s">
        <v>228</v>
      </c>
      <c r="H406" s="12" t="s">
        <v>236</v>
      </c>
      <c r="I406" s="36">
        <v>1954</v>
      </c>
      <c r="J406" s="36" t="s">
        <v>40</v>
      </c>
      <c r="K406" s="34" t="s">
        <v>91</v>
      </c>
    </row>
    <row r="407" spans="1:11" ht="15.75">
      <c r="A407" s="33">
        <v>405</v>
      </c>
      <c r="B407" s="16" t="s">
        <v>453</v>
      </c>
      <c r="C407" s="34" t="s">
        <v>320</v>
      </c>
      <c r="D407" t="str">
        <f>"9521645"</f>
        <v>9521645</v>
      </c>
      <c r="E407" s="34" t="s">
        <v>468</v>
      </c>
      <c r="F407" s="2" t="s">
        <v>27</v>
      </c>
      <c r="G407" s="76" t="s">
        <v>228</v>
      </c>
      <c r="H407" s="12" t="s">
        <v>236</v>
      </c>
      <c r="I407" s="36">
        <v>2010</v>
      </c>
      <c r="J407" s="36" t="s">
        <v>39</v>
      </c>
      <c r="K407" s="34" t="s">
        <v>91</v>
      </c>
    </row>
    <row r="408" spans="1:11" ht="15.75">
      <c r="A408" s="33">
        <v>406</v>
      </c>
      <c r="B408" s="16" t="s">
        <v>453</v>
      </c>
      <c r="C408" s="34" t="s">
        <v>330</v>
      </c>
      <c r="D408" s="76" t="str">
        <f>"9200519"</f>
        <v>9200519</v>
      </c>
      <c r="E408" s="34" t="s">
        <v>468</v>
      </c>
      <c r="F408" s="2" t="s">
        <v>27</v>
      </c>
      <c r="G408" s="76" t="s">
        <v>228</v>
      </c>
      <c r="H408" s="12" t="s">
        <v>497</v>
      </c>
      <c r="I408" s="36">
        <v>0</v>
      </c>
      <c r="J408" s="36" t="s">
        <v>40</v>
      </c>
      <c r="K408" s="34" t="s">
        <v>91</v>
      </c>
    </row>
    <row r="409" spans="1:11" ht="15.75">
      <c r="A409" s="33">
        <v>407</v>
      </c>
      <c r="B409" s="16" t="s">
        <v>453</v>
      </c>
      <c r="C409" s="34" t="s">
        <v>337</v>
      </c>
      <c r="D409" s="116" t="str">
        <f>"9200454"</f>
        <v>9200454</v>
      </c>
      <c r="E409" s="34" t="s">
        <v>468</v>
      </c>
      <c r="F409" s="2" t="s">
        <v>27</v>
      </c>
      <c r="G409" s="76" t="s">
        <v>228</v>
      </c>
      <c r="H409" s="12" t="s">
        <v>474</v>
      </c>
      <c r="I409" s="36">
        <v>1926</v>
      </c>
      <c r="J409" s="36" t="s">
        <v>40</v>
      </c>
      <c r="K409" s="34" t="s">
        <v>91</v>
      </c>
    </row>
    <row r="410" spans="1:11" ht="15.75">
      <c r="A410" s="33">
        <v>408</v>
      </c>
      <c r="B410" s="16" t="s">
        <v>453</v>
      </c>
      <c r="C410" s="34" t="s">
        <v>338</v>
      </c>
      <c r="D410" t="str">
        <f>"9200597"</f>
        <v>9200597</v>
      </c>
      <c r="E410" s="34" t="s">
        <v>468</v>
      </c>
      <c r="F410" s="2" t="s">
        <v>27</v>
      </c>
      <c r="G410" s="76" t="s">
        <v>228</v>
      </c>
      <c r="H410" s="12" t="s">
        <v>491</v>
      </c>
      <c r="I410" s="36">
        <v>2000</v>
      </c>
      <c r="J410" s="36" t="s">
        <v>40</v>
      </c>
      <c r="K410" s="34" t="s">
        <v>91</v>
      </c>
    </row>
    <row r="411" spans="1:11" ht="15.75">
      <c r="A411" s="33">
        <v>409</v>
      </c>
      <c r="B411" s="16" t="s">
        <v>453</v>
      </c>
      <c r="C411" s="34" t="s">
        <v>344</v>
      </c>
      <c r="D411" t="str">
        <f>"9200361"</f>
        <v>9200361</v>
      </c>
      <c r="E411" s="34" t="s">
        <v>468</v>
      </c>
      <c r="F411" s="2" t="s">
        <v>27</v>
      </c>
      <c r="G411" s="76" t="s">
        <v>228</v>
      </c>
      <c r="H411" s="12" t="s">
        <v>228</v>
      </c>
      <c r="I411" s="81"/>
      <c r="J411" s="36" t="s">
        <v>40</v>
      </c>
      <c r="K411" s="34" t="s">
        <v>91</v>
      </c>
    </row>
    <row r="412" spans="1:11" ht="15.75">
      <c r="A412" s="33">
        <v>410</v>
      </c>
      <c r="B412" s="16" t="s">
        <v>453</v>
      </c>
      <c r="C412" s="34" t="s">
        <v>345</v>
      </c>
      <c r="D412" t="str">
        <f>"9200536"</f>
        <v>9200536</v>
      </c>
      <c r="E412" s="34" t="s">
        <v>468</v>
      </c>
      <c r="F412" s="2" t="s">
        <v>27</v>
      </c>
      <c r="G412" s="76" t="s">
        <v>228</v>
      </c>
      <c r="H412" s="12" t="s">
        <v>477</v>
      </c>
      <c r="I412" s="36">
        <v>1910</v>
      </c>
      <c r="J412" s="36" t="s">
        <v>39</v>
      </c>
      <c r="K412" s="34" t="s">
        <v>91</v>
      </c>
    </row>
    <row r="413" spans="1:11" ht="15.75">
      <c r="A413" s="33">
        <v>411</v>
      </c>
      <c r="B413" s="16" t="s">
        <v>453</v>
      </c>
      <c r="C413" s="34" t="s">
        <v>352</v>
      </c>
      <c r="D413" t="str">
        <f>"9200368"</f>
        <v>9200368</v>
      </c>
      <c r="E413" s="34" t="s">
        <v>468</v>
      </c>
      <c r="F413" s="2" t="s">
        <v>27</v>
      </c>
      <c r="G413" s="76" t="s">
        <v>228</v>
      </c>
      <c r="H413" s="12" t="s">
        <v>481</v>
      </c>
      <c r="I413" s="36">
        <v>1932</v>
      </c>
      <c r="J413" s="36" t="s">
        <v>40</v>
      </c>
      <c r="K413" s="34" t="s">
        <v>91</v>
      </c>
    </row>
    <row r="414" spans="1:11" ht="15.75">
      <c r="A414" s="33">
        <v>412</v>
      </c>
      <c r="B414" s="16" t="s">
        <v>453</v>
      </c>
      <c r="C414" s="34" t="s">
        <v>357</v>
      </c>
      <c r="D414" t="str">
        <f>"9200463"</f>
        <v>9200463</v>
      </c>
      <c r="E414" s="34" t="s">
        <v>468</v>
      </c>
      <c r="F414" s="2" t="s">
        <v>27</v>
      </c>
      <c r="G414" s="76" t="s">
        <v>228</v>
      </c>
      <c r="H414" s="12" t="s">
        <v>241</v>
      </c>
      <c r="I414" s="36">
        <v>1983</v>
      </c>
      <c r="J414" s="36" t="s">
        <v>40</v>
      </c>
      <c r="K414" s="34" t="s">
        <v>91</v>
      </c>
    </row>
    <row r="415" spans="1:11" ht="15.75">
      <c r="A415" s="33">
        <v>413</v>
      </c>
      <c r="B415" s="16" t="s">
        <v>453</v>
      </c>
      <c r="C415" s="34" t="s">
        <v>375</v>
      </c>
      <c r="D415" t="str">
        <f>"9200072"</f>
        <v>9200072</v>
      </c>
      <c r="E415" s="34" t="s">
        <v>468</v>
      </c>
      <c r="F415" s="2" t="s">
        <v>27</v>
      </c>
      <c r="G415" s="76" t="s">
        <v>228</v>
      </c>
      <c r="H415" s="12" t="s">
        <v>488</v>
      </c>
      <c r="I415" s="36">
        <v>1986</v>
      </c>
      <c r="J415" s="36" t="s">
        <v>39</v>
      </c>
      <c r="K415" s="34" t="s">
        <v>91</v>
      </c>
    </row>
    <row r="416" spans="1:11" ht="15.75">
      <c r="A416" s="33">
        <v>414</v>
      </c>
      <c r="B416" s="16" t="s">
        <v>453</v>
      </c>
      <c r="C416" s="34" t="s">
        <v>301</v>
      </c>
      <c r="D416" t="str">
        <f>"9200482"</f>
        <v>9200482</v>
      </c>
      <c r="E416" s="34" t="s">
        <v>468</v>
      </c>
      <c r="F416" s="2" t="s">
        <v>27</v>
      </c>
      <c r="G416" s="76" t="s">
        <v>224</v>
      </c>
      <c r="H416" s="12" t="s">
        <v>27</v>
      </c>
      <c r="I416" s="36">
        <v>1979</v>
      </c>
      <c r="J416" s="36" t="s">
        <v>40</v>
      </c>
      <c r="K416" s="34" t="s">
        <v>91</v>
      </c>
    </row>
    <row r="417" spans="1:11" ht="15.75">
      <c r="A417" s="33">
        <v>415</v>
      </c>
      <c r="B417" s="16" t="s">
        <v>453</v>
      </c>
      <c r="C417" s="34" t="s">
        <v>302</v>
      </c>
      <c r="D417" t="str">
        <f>"9200558"</f>
        <v>9200558</v>
      </c>
      <c r="E417" s="34" t="s">
        <v>468</v>
      </c>
      <c r="F417" s="2" t="s">
        <v>27</v>
      </c>
      <c r="G417" s="76" t="s">
        <v>224</v>
      </c>
      <c r="H417" s="12" t="s">
        <v>27</v>
      </c>
      <c r="I417" s="36">
        <v>2009</v>
      </c>
      <c r="J417" s="36" t="s">
        <v>39</v>
      </c>
      <c r="K417" s="34" t="s">
        <v>91</v>
      </c>
    </row>
    <row r="418" spans="1:11" ht="15.75">
      <c r="A418" s="33">
        <v>416</v>
      </c>
      <c r="B418" s="16" t="s">
        <v>453</v>
      </c>
      <c r="C418" s="34" t="s">
        <v>303</v>
      </c>
      <c r="D418" t="str">
        <f>"9200540"</f>
        <v>9200540</v>
      </c>
      <c r="E418" s="34" t="s">
        <v>468</v>
      </c>
      <c r="F418" s="2" t="s">
        <v>27</v>
      </c>
      <c r="G418" s="76" t="s">
        <v>224</v>
      </c>
      <c r="H418" s="12" t="s">
        <v>27</v>
      </c>
      <c r="I418" s="81"/>
      <c r="J418" s="36" t="s">
        <v>40</v>
      </c>
      <c r="K418" s="34" t="s">
        <v>91</v>
      </c>
    </row>
    <row r="419" spans="1:11" ht="15.75">
      <c r="A419" s="33">
        <v>417</v>
      </c>
      <c r="B419" s="16" t="s">
        <v>453</v>
      </c>
      <c r="C419" s="34" t="s">
        <v>304</v>
      </c>
      <c r="D419" t="str">
        <f>"9200541"</f>
        <v>9200541</v>
      </c>
      <c r="E419" s="34" t="s">
        <v>468</v>
      </c>
      <c r="F419" s="2" t="s">
        <v>27</v>
      </c>
      <c r="G419" s="76" t="s">
        <v>224</v>
      </c>
      <c r="H419" s="12" t="s">
        <v>27</v>
      </c>
      <c r="I419" s="81"/>
      <c r="J419" s="36" t="s">
        <v>40</v>
      </c>
      <c r="K419" s="34" t="s">
        <v>91</v>
      </c>
    </row>
    <row r="420" spans="1:11" ht="15.75">
      <c r="A420" s="33">
        <v>418</v>
      </c>
      <c r="B420" s="16" t="s">
        <v>453</v>
      </c>
      <c r="C420" s="34" t="s">
        <v>305</v>
      </c>
      <c r="D420" t="str">
        <f>"9200569"</f>
        <v>9200569</v>
      </c>
      <c r="E420" s="34" t="s">
        <v>468</v>
      </c>
      <c r="F420" s="2" t="s">
        <v>27</v>
      </c>
      <c r="G420" s="76" t="s">
        <v>224</v>
      </c>
      <c r="H420" s="12" t="s">
        <v>27</v>
      </c>
      <c r="I420" s="36">
        <v>2007</v>
      </c>
      <c r="J420" s="36" t="s">
        <v>39</v>
      </c>
      <c r="K420" s="34" t="s">
        <v>91</v>
      </c>
    </row>
    <row r="421" spans="1:11" ht="15.75">
      <c r="A421" s="33">
        <v>419</v>
      </c>
      <c r="B421" s="16" t="s">
        <v>453</v>
      </c>
      <c r="C421" s="34" t="s">
        <v>306</v>
      </c>
      <c r="D421" t="str">
        <f>"9200571"</f>
        <v>9200571</v>
      </c>
      <c r="E421" s="34" t="s">
        <v>468</v>
      </c>
      <c r="F421" s="2" t="s">
        <v>27</v>
      </c>
      <c r="G421" s="76" t="s">
        <v>224</v>
      </c>
      <c r="H421" s="12" t="s">
        <v>27</v>
      </c>
      <c r="I421" s="36">
        <v>1947</v>
      </c>
      <c r="J421" s="36" t="s">
        <v>40</v>
      </c>
      <c r="K421" s="34" t="s">
        <v>91</v>
      </c>
    </row>
    <row r="422" spans="1:11" ht="15.75">
      <c r="A422" s="33">
        <v>420</v>
      </c>
      <c r="B422" s="16" t="s">
        <v>453</v>
      </c>
      <c r="C422" s="34" t="s">
        <v>315</v>
      </c>
      <c r="D422" t="str">
        <f>"9200017"</f>
        <v>9200017</v>
      </c>
      <c r="E422" s="34" t="s">
        <v>468</v>
      </c>
      <c r="F422" s="2" t="s">
        <v>27</v>
      </c>
      <c r="G422" s="76" t="s">
        <v>224</v>
      </c>
      <c r="H422" s="12" t="s">
        <v>222</v>
      </c>
      <c r="I422" s="36">
        <v>1960</v>
      </c>
      <c r="J422" s="36" t="s">
        <v>40</v>
      </c>
      <c r="K422" s="34" t="s">
        <v>91</v>
      </c>
    </row>
    <row r="423" spans="1:11" ht="15.75">
      <c r="A423" s="33">
        <v>421</v>
      </c>
      <c r="B423" s="16" t="s">
        <v>453</v>
      </c>
      <c r="C423" s="34" t="s">
        <v>293</v>
      </c>
      <c r="D423" t="str">
        <f>"9200103"</f>
        <v>9200103</v>
      </c>
      <c r="E423" s="34" t="s">
        <v>468</v>
      </c>
      <c r="F423" s="2" t="s">
        <v>27</v>
      </c>
      <c r="G423" s="76" t="s">
        <v>224</v>
      </c>
      <c r="H423" s="12" t="s">
        <v>27</v>
      </c>
      <c r="I423" s="36">
        <v>1994</v>
      </c>
      <c r="J423" s="36" t="s">
        <v>39</v>
      </c>
      <c r="K423" s="34" t="s">
        <v>91</v>
      </c>
    </row>
    <row r="424" spans="1:11" ht="15.75">
      <c r="A424" s="33">
        <v>422</v>
      </c>
      <c r="B424" s="16" t="s">
        <v>453</v>
      </c>
      <c r="C424" s="34" t="s">
        <v>321</v>
      </c>
      <c r="D424" t="str">
        <f>"9200129"</f>
        <v>9200129</v>
      </c>
      <c r="E424" s="34" t="s">
        <v>468</v>
      </c>
      <c r="F424" s="2" t="s">
        <v>27</v>
      </c>
      <c r="G424" s="76" t="s">
        <v>224</v>
      </c>
      <c r="H424" s="12" t="s">
        <v>240</v>
      </c>
      <c r="I424" s="36">
        <v>1990</v>
      </c>
      <c r="J424" s="36" t="s">
        <v>39</v>
      </c>
      <c r="K424" s="34" t="s">
        <v>91</v>
      </c>
    </row>
    <row r="425" spans="1:11" ht="15.75">
      <c r="A425" s="33">
        <v>423</v>
      </c>
      <c r="B425" s="16" t="s">
        <v>453</v>
      </c>
      <c r="C425" s="34" t="s">
        <v>326</v>
      </c>
      <c r="D425" s="116" t="str">
        <f>"9200251"</f>
        <v>9200251</v>
      </c>
      <c r="E425" s="34" t="s">
        <v>468</v>
      </c>
      <c r="F425" s="2" t="s">
        <v>27</v>
      </c>
      <c r="G425" s="76" t="s">
        <v>224</v>
      </c>
      <c r="H425" s="12" t="s">
        <v>469</v>
      </c>
      <c r="I425" s="36">
        <v>1958</v>
      </c>
      <c r="J425" s="36" t="s">
        <v>40</v>
      </c>
      <c r="K425" s="34" t="s">
        <v>91</v>
      </c>
    </row>
    <row r="426" spans="1:11" ht="15.75">
      <c r="A426" s="33">
        <v>424</v>
      </c>
      <c r="B426" s="16" t="s">
        <v>453</v>
      </c>
      <c r="C426" s="34" t="s">
        <v>307</v>
      </c>
      <c r="D426" t="str">
        <f>"9200492"</f>
        <v>9200492</v>
      </c>
      <c r="E426" s="34" t="s">
        <v>468</v>
      </c>
      <c r="F426" s="2" t="s">
        <v>27</v>
      </c>
      <c r="G426" s="76" t="s">
        <v>224</v>
      </c>
      <c r="H426" s="12" t="s">
        <v>27</v>
      </c>
      <c r="I426" s="36">
        <v>1998</v>
      </c>
      <c r="J426" s="36" t="s">
        <v>39</v>
      </c>
      <c r="K426" s="34" t="s">
        <v>91</v>
      </c>
    </row>
    <row r="427" spans="1:11" ht="15.75">
      <c r="A427" s="33">
        <v>425</v>
      </c>
      <c r="B427" s="16" t="s">
        <v>453</v>
      </c>
      <c r="C427" s="34" t="s">
        <v>308</v>
      </c>
      <c r="D427" t="str">
        <f>"9200493"</f>
        <v>9200493</v>
      </c>
      <c r="E427" s="34" t="s">
        <v>468</v>
      </c>
      <c r="F427" s="2" t="s">
        <v>27</v>
      </c>
      <c r="G427" s="76" t="s">
        <v>224</v>
      </c>
      <c r="H427" s="12" t="s">
        <v>27</v>
      </c>
      <c r="I427" s="36">
        <v>1995</v>
      </c>
      <c r="J427" s="36" t="s">
        <v>39</v>
      </c>
      <c r="K427" s="34" t="s">
        <v>91</v>
      </c>
    </row>
    <row r="428" spans="1:11" ht="15.75">
      <c r="A428" s="33">
        <v>426</v>
      </c>
      <c r="B428" s="16" t="s">
        <v>453</v>
      </c>
      <c r="C428" s="34" t="s">
        <v>309</v>
      </c>
      <c r="D428" t="str">
        <f>"9200433"</f>
        <v>9200433</v>
      </c>
      <c r="E428" s="34" t="s">
        <v>468</v>
      </c>
      <c r="F428" s="2" t="s">
        <v>27</v>
      </c>
      <c r="G428" s="76" t="s">
        <v>224</v>
      </c>
      <c r="H428" s="12" t="s">
        <v>27</v>
      </c>
      <c r="I428" s="81"/>
      <c r="J428" s="36" t="s">
        <v>40</v>
      </c>
      <c r="K428" s="34" t="s">
        <v>91</v>
      </c>
    </row>
    <row r="429" spans="1:11" ht="15.75">
      <c r="A429" s="33">
        <v>427</v>
      </c>
      <c r="B429" s="16" t="s">
        <v>453</v>
      </c>
      <c r="C429" s="34" t="s">
        <v>310</v>
      </c>
      <c r="D429" t="str">
        <f>"9200575"</f>
        <v>9200575</v>
      </c>
      <c r="E429" s="34" t="s">
        <v>468</v>
      </c>
      <c r="F429" s="2" t="s">
        <v>27</v>
      </c>
      <c r="G429" s="76" t="s">
        <v>224</v>
      </c>
      <c r="H429" s="12" t="s">
        <v>27</v>
      </c>
      <c r="I429" s="36">
        <v>1986</v>
      </c>
      <c r="J429" s="36" t="s">
        <v>39</v>
      </c>
      <c r="K429" s="34" t="s">
        <v>91</v>
      </c>
    </row>
    <row r="430" spans="1:11" ht="15.75">
      <c r="A430" s="33">
        <v>428</v>
      </c>
      <c r="B430" s="16" t="s">
        <v>453</v>
      </c>
      <c r="C430" s="34" t="s">
        <v>311</v>
      </c>
      <c r="D430" t="str">
        <f>"9200535"</f>
        <v>9200535</v>
      </c>
      <c r="E430" s="34" t="s">
        <v>468</v>
      </c>
      <c r="F430" s="2" t="s">
        <v>27</v>
      </c>
      <c r="G430" s="76" t="s">
        <v>224</v>
      </c>
      <c r="H430" s="12" t="s">
        <v>27</v>
      </c>
      <c r="I430" s="36">
        <v>1989</v>
      </c>
      <c r="J430" s="36" t="s">
        <v>40</v>
      </c>
      <c r="K430" s="34" t="s">
        <v>91</v>
      </c>
    </row>
    <row r="431" spans="1:11" ht="15.75">
      <c r="A431" s="33">
        <v>429</v>
      </c>
      <c r="B431" s="16" t="s">
        <v>453</v>
      </c>
      <c r="C431" s="34" t="s">
        <v>316</v>
      </c>
      <c r="D431" t="str">
        <f>"9200515"</f>
        <v>9200515</v>
      </c>
      <c r="E431" s="34" t="s">
        <v>468</v>
      </c>
      <c r="F431" s="2" t="s">
        <v>27</v>
      </c>
      <c r="G431" s="76" t="s">
        <v>224</v>
      </c>
      <c r="H431" s="12" t="s">
        <v>222</v>
      </c>
      <c r="I431" s="81"/>
      <c r="J431" s="36" t="s">
        <v>39</v>
      </c>
      <c r="K431" s="34" t="s">
        <v>91</v>
      </c>
    </row>
    <row r="432" spans="1:11" ht="15.75">
      <c r="A432" s="33">
        <v>430</v>
      </c>
      <c r="B432" s="16" t="s">
        <v>453</v>
      </c>
      <c r="C432" s="34" t="s">
        <v>294</v>
      </c>
      <c r="D432" t="str">
        <f>"9200192"</f>
        <v>9200192</v>
      </c>
      <c r="E432" s="34" t="s">
        <v>468</v>
      </c>
      <c r="F432" s="2" t="s">
        <v>27</v>
      </c>
      <c r="G432" s="76" t="s">
        <v>224</v>
      </c>
      <c r="H432" s="12" t="s">
        <v>27</v>
      </c>
      <c r="I432" s="36">
        <v>1986</v>
      </c>
      <c r="J432" s="36" t="s">
        <v>40</v>
      </c>
      <c r="K432" s="34" t="s">
        <v>91</v>
      </c>
    </row>
    <row r="433" spans="1:11" ht="15.75">
      <c r="A433" s="33">
        <v>431</v>
      </c>
      <c r="B433" s="16" t="s">
        <v>453</v>
      </c>
      <c r="C433" s="34" t="s">
        <v>312</v>
      </c>
      <c r="D433" t="str">
        <f>"9521220"</f>
        <v>9521220</v>
      </c>
      <c r="E433" s="34" t="s">
        <v>468</v>
      </c>
      <c r="F433" s="2" t="s">
        <v>27</v>
      </c>
      <c r="G433" s="76" t="s">
        <v>224</v>
      </c>
      <c r="H433" s="12" t="s">
        <v>27</v>
      </c>
      <c r="I433" s="36">
        <v>2000</v>
      </c>
      <c r="J433" s="36" t="s">
        <v>39</v>
      </c>
      <c r="K433" s="34" t="s">
        <v>91</v>
      </c>
    </row>
    <row r="434" spans="1:11" ht="15.75">
      <c r="A434" s="33">
        <v>432</v>
      </c>
      <c r="B434" s="16" t="s">
        <v>453</v>
      </c>
      <c r="C434" s="34" t="s">
        <v>313</v>
      </c>
      <c r="D434" t="str">
        <f>"9521534"</f>
        <v>9521534</v>
      </c>
      <c r="E434" s="34" t="s">
        <v>468</v>
      </c>
      <c r="F434" s="2" t="s">
        <v>27</v>
      </c>
      <c r="G434" s="76" t="s">
        <v>224</v>
      </c>
      <c r="H434" s="12" t="s">
        <v>27</v>
      </c>
      <c r="I434" s="36">
        <v>1990</v>
      </c>
      <c r="J434" s="36" t="s">
        <v>39</v>
      </c>
      <c r="K434" s="34" t="s">
        <v>91</v>
      </c>
    </row>
    <row r="435" spans="1:11" ht="15.75">
      <c r="A435" s="33">
        <v>433</v>
      </c>
      <c r="B435" s="16" t="s">
        <v>453</v>
      </c>
      <c r="C435" s="34" t="s">
        <v>314</v>
      </c>
      <c r="D435" t="str">
        <f>"9200599"</f>
        <v>9200599</v>
      </c>
      <c r="E435" s="34" t="s">
        <v>468</v>
      </c>
      <c r="F435" s="2" t="s">
        <v>27</v>
      </c>
      <c r="G435" s="76" t="s">
        <v>224</v>
      </c>
      <c r="H435" s="12" t="s">
        <v>27</v>
      </c>
      <c r="I435" s="36">
        <v>1992</v>
      </c>
      <c r="J435" s="36" t="s">
        <v>39</v>
      </c>
      <c r="K435" s="34" t="s">
        <v>91</v>
      </c>
    </row>
    <row r="436" spans="1:11" ht="15.75">
      <c r="A436" s="33">
        <v>434</v>
      </c>
      <c r="B436" s="16" t="s">
        <v>453</v>
      </c>
      <c r="C436" s="34" t="s">
        <v>317</v>
      </c>
      <c r="D436" t="str">
        <f>"9200570"</f>
        <v>9200570</v>
      </c>
      <c r="E436" s="34" t="s">
        <v>468</v>
      </c>
      <c r="F436" s="2" t="s">
        <v>27</v>
      </c>
      <c r="G436" s="76" t="s">
        <v>224</v>
      </c>
      <c r="H436" s="12" t="s">
        <v>222</v>
      </c>
      <c r="I436" s="36">
        <v>1997</v>
      </c>
      <c r="J436" s="36" t="s">
        <v>39</v>
      </c>
      <c r="K436" s="34" t="s">
        <v>91</v>
      </c>
    </row>
    <row r="437" spans="1:11" ht="15.75">
      <c r="A437" s="33">
        <v>435</v>
      </c>
      <c r="B437" s="16" t="s">
        <v>453</v>
      </c>
      <c r="C437" s="34" t="s">
        <v>295</v>
      </c>
      <c r="D437" t="str">
        <f>"9200426"</f>
        <v>9200426</v>
      </c>
      <c r="E437" s="34" t="s">
        <v>468</v>
      </c>
      <c r="F437" s="2" t="s">
        <v>27</v>
      </c>
      <c r="G437" s="76" t="s">
        <v>224</v>
      </c>
      <c r="H437" s="12" t="s">
        <v>27</v>
      </c>
      <c r="I437" s="36">
        <v>2002</v>
      </c>
      <c r="J437" s="36" t="s">
        <v>39</v>
      </c>
      <c r="K437" s="34" t="s">
        <v>91</v>
      </c>
    </row>
    <row r="438" spans="1:11" ht="15.75">
      <c r="A438" s="33">
        <v>436</v>
      </c>
      <c r="B438" s="16" t="s">
        <v>453</v>
      </c>
      <c r="C438" s="34" t="s">
        <v>322</v>
      </c>
      <c r="D438" t="str">
        <f>"9200490"</f>
        <v>9200490</v>
      </c>
      <c r="E438" s="34" t="s">
        <v>468</v>
      </c>
      <c r="F438" s="2" t="s">
        <v>27</v>
      </c>
      <c r="G438" s="76" t="s">
        <v>224</v>
      </c>
      <c r="H438" s="12" t="s">
        <v>240</v>
      </c>
      <c r="I438" s="36">
        <v>1990</v>
      </c>
      <c r="J438" s="36" t="s">
        <v>39</v>
      </c>
      <c r="K438" s="34" t="s">
        <v>91</v>
      </c>
    </row>
    <row r="439" spans="1:11" ht="15.75">
      <c r="A439" s="33">
        <v>437</v>
      </c>
      <c r="B439" s="16" t="s">
        <v>453</v>
      </c>
      <c r="C439" s="34" t="s">
        <v>327</v>
      </c>
      <c r="D439" t="str">
        <f>"9200459"</f>
        <v>9200459</v>
      </c>
      <c r="E439" s="34" t="s">
        <v>468</v>
      </c>
      <c r="F439" s="2" t="s">
        <v>27</v>
      </c>
      <c r="G439" s="76" t="s">
        <v>224</v>
      </c>
      <c r="H439" s="12" t="s">
        <v>469</v>
      </c>
      <c r="I439" s="36">
        <v>1995</v>
      </c>
      <c r="J439" s="36" t="s">
        <v>39</v>
      </c>
      <c r="K439" s="34" t="s">
        <v>91</v>
      </c>
    </row>
    <row r="440" spans="1:11" ht="15.75">
      <c r="A440" s="33">
        <v>438</v>
      </c>
      <c r="B440" s="16" t="s">
        <v>453</v>
      </c>
      <c r="C440" s="34" t="s">
        <v>296</v>
      </c>
      <c r="D440" t="str">
        <f>"9200099"</f>
        <v>9200099</v>
      </c>
      <c r="E440" s="34" t="s">
        <v>468</v>
      </c>
      <c r="F440" s="2" t="s">
        <v>27</v>
      </c>
      <c r="G440" s="76" t="s">
        <v>224</v>
      </c>
      <c r="H440" s="12" t="s">
        <v>27</v>
      </c>
      <c r="I440" s="36">
        <v>1982</v>
      </c>
      <c r="J440" s="36" t="s">
        <v>40</v>
      </c>
      <c r="K440" s="34" t="s">
        <v>91</v>
      </c>
    </row>
    <row r="441" spans="1:11" ht="15.75">
      <c r="A441" s="33">
        <v>439</v>
      </c>
      <c r="B441" s="16" t="s">
        <v>453</v>
      </c>
      <c r="C441" s="34" t="s">
        <v>318</v>
      </c>
      <c r="D441" t="str">
        <f>"9521219"</f>
        <v>9521219</v>
      </c>
      <c r="E441" s="34" t="s">
        <v>468</v>
      </c>
      <c r="F441" s="2" t="s">
        <v>27</v>
      </c>
      <c r="G441" s="76" t="s">
        <v>224</v>
      </c>
      <c r="H441" s="12" t="s">
        <v>222</v>
      </c>
      <c r="I441" s="36">
        <v>1980</v>
      </c>
      <c r="J441" s="36" t="s">
        <v>40</v>
      </c>
      <c r="K441" s="34" t="s">
        <v>91</v>
      </c>
    </row>
    <row r="442" spans="1:11" ht="15.75">
      <c r="A442" s="33">
        <v>440</v>
      </c>
      <c r="B442" s="16" t="s">
        <v>453</v>
      </c>
      <c r="C442" s="34" t="s">
        <v>297</v>
      </c>
      <c r="D442" t="str">
        <f>"9200422"</f>
        <v>9200422</v>
      </c>
      <c r="E442" s="34" t="s">
        <v>468</v>
      </c>
      <c r="F442" s="2" t="s">
        <v>27</v>
      </c>
      <c r="G442" s="76" t="s">
        <v>224</v>
      </c>
      <c r="H442" s="12" t="s">
        <v>27</v>
      </c>
      <c r="I442" s="36">
        <v>1937</v>
      </c>
      <c r="J442" s="36" t="s">
        <v>40</v>
      </c>
      <c r="K442" s="34" t="s">
        <v>91</v>
      </c>
    </row>
    <row r="443" spans="1:11" ht="15.75">
      <c r="A443" s="33">
        <v>441</v>
      </c>
      <c r="B443" s="16" t="s">
        <v>453</v>
      </c>
      <c r="C443" s="34" t="s">
        <v>319</v>
      </c>
      <c r="D443" t="str">
        <f>"9521533"</f>
        <v>9521533</v>
      </c>
      <c r="E443" s="34" t="s">
        <v>468</v>
      </c>
      <c r="F443" s="2" t="s">
        <v>27</v>
      </c>
      <c r="G443" s="76" t="s">
        <v>224</v>
      </c>
      <c r="H443" s="12" t="s">
        <v>222</v>
      </c>
      <c r="I443" s="36">
        <v>2007</v>
      </c>
      <c r="J443" s="36" t="s">
        <v>39</v>
      </c>
      <c r="K443" s="34" t="s">
        <v>91</v>
      </c>
    </row>
    <row r="444" spans="1:11" ht="15.75">
      <c r="A444" s="33">
        <v>442</v>
      </c>
      <c r="B444" s="16" t="s">
        <v>453</v>
      </c>
      <c r="C444" s="34" t="s">
        <v>298</v>
      </c>
      <c r="D444" t="str">
        <f>"9200424"</f>
        <v>9200424</v>
      </c>
      <c r="E444" s="34" t="s">
        <v>468</v>
      </c>
      <c r="F444" s="2" t="s">
        <v>27</v>
      </c>
      <c r="G444" s="76" t="s">
        <v>224</v>
      </c>
      <c r="H444" s="12" t="s">
        <v>27</v>
      </c>
      <c r="I444" s="36">
        <v>1984</v>
      </c>
      <c r="J444" s="36" t="s">
        <v>39</v>
      </c>
      <c r="K444" s="34" t="s">
        <v>91</v>
      </c>
    </row>
    <row r="445" spans="1:11" ht="15.75">
      <c r="A445" s="33">
        <v>443</v>
      </c>
      <c r="B445" s="16" t="s">
        <v>453</v>
      </c>
      <c r="C445" s="34" t="s">
        <v>299</v>
      </c>
      <c r="D445" t="str">
        <f>"9200592"</f>
        <v>9200592</v>
      </c>
      <c r="E445" s="34" t="s">
        <v>468</v>
      </c>
      <c r="F445" s="2" t="s">
        <v>27</v>
      </c>
      <c r="G445" s="76" t="s">
        <v>224</v>
      </c>
      <c r="H445" s="12" t="s">
        <v>27</v>
      </c>
      <c r="I445" s="36">
        <v>2007</v>
      </c>
      <c r="J445" s="36" t="s">
        <v>40</v>
      </c>
      <c r="K445" s="34" t="s">
        <v>91</v>
      </c>
    </row>
    <row r="446" spans="1:11" ht="15.75">
      <c r="A446" s="33">
        <v>444</v>
      </c>
      <c r="B446" s="16" t="s">
        <v>453</v>
      </c>
      <c r="C446" s="34" t="s">
        <v>300</v>
      </c>
      <c r="D446" t="str">
        <f>"9200427"</f>
        <v>9200427</v>
      </c>
      <c r="E446" s="34" t="s">
        <v>468</v>
      </c>
      <c r="F446" s="2" t="s">
        <v>27</v>
      </c>
      <c r="G446" s="76" t="s">
        <v>224</v>
      </c>
      <c r="H446" s="12" t="s">
        <v>27</v>
      </c>
      <c r="I446" s="36">
        <v>1973</v>
      </c>
      <c r="J446" s="36" t="s">
        <v>39</v>
      </c>
      <c r="K446" s="34" t="s">
        <v>139</v>
      </c>
    </row>
    <row r="447" spans="1:11" ht="15.75">
      <c r="A447" s="33">
        <v>445</v>
      </c>
      <c r="B447" s="16" t="s">
        <v>453</v>
      </c>
      <c r="C447" s="34" t="s">
        <v>378</v>
      </c>
      <c r="D447" t="str">
        <f>"9200594"</f>
        <v>9200594</v>
      </c>
      <c r="E447" s="34" t="s">
        <v>468</v>
      </c>
      <c r="F447" s="2" t="s">
        <v>27</v>
      </c>
      <c r="G447" s="76" t="s">
        <v>224</v>
      </c>
      <c r="H447" s="12" t="s">
        <v>27</v>
      </c>
      <c r="I447" s="81"/>
      <c r="J447" s="36" t="s">
        <v>40</v>
      </c>
      <c r="K447" s="34" t="s">
        <v>91</v>
      </c>
    </row>
    <row r="448" spans="1:11" ht="15.75">
      <c r="A448" s="33">
        <v>446</v>
      </c>
      <c r="B448" s="16" t="s">
        <v>453</v>
      </c>
      <c r="C448" s="34" t="s">
        <v>379</v>
      </c>
      <c r="D448" t="str">
        <f>"9200573"</f>
        <v>9200573</v>
      </c>
      <c r="E448" s="34" t="s">
        <v>468</v>
      </c>
      <c r="F448" s="2" t="s">
        <v>27</v>
      </c>
      <c r="G448" s="76" t="s">
        <v>224</v>
      </c>
      <c r="H448" s="12" t="s">
        <v>27</v>
      </c>
      <c r="I448" s="36">
        <v>2007</v>
      </c>
      <c r="J448" s="36" t="s">
        <v>39</v>
      </c>
      <c r="K448" s="34" t="s">
        <v>91</v>
      </c>
    </row>
    <row r="449" spans="1:11" ht="15.75">
      <c r="A449" s="33">
        <v>447</v>
      </c>
      <c r="B449" s="16" t="s">
        <v>453</v>
      </c>
      <c r="C449" s="34" t="s">
        <v>331</v>
      </c>
      <c r="D449" t="str">
        <f>"9200527"</f>
        <v>9200527</v>
      </c>
      <c r="E449" s="34" t="s">
        <v>468</v>
      </c>
      <c r="F449" s="2" t="s">
        <v>27</v>
      </c>
      <c r="G449" s="76" t="s">
        <v>224</v>
      </c>
      <c r="H449" s="12" t="s">
        <v>498</v>
      </c>
      <c r="I449" s="36">
        <v>1982</v>
      </c>
      <c r="J449" s="36" t="s">
        <v>40</v>
      </c>
      <c r="K449" s="34" t="s">
        <v>91</v>
      </c>
    </row>
    <row r="450" spans="1:11" ht="15.75">
      <c r="A450" s="33">
        <v>448</v>
      </c>
      <c r="B450" s="16" t="s">
        <v>453</v>
      </c>
      <c r="C450" s="34" t="s">
        <v>339</v>
      </c>
      <c r="D450" t="str">
        <f>"9200514"</f>
        <v>9200514</v>
      </c>
      <c r="E450" s="34" t="s">
        <v>468</v>
      </c>
      <c r="F450" s="2" t="s">
        <v>27</v>
      </c>
      <c r="G450" s="76" t="s">
        <v>224</v>
      </c>
      <c r="H450" s="12" t="s">
        <v>492</v>
      </c>
      <c r="I450" s="36">
        <v>1992</v>
      </c>
      <c r="J450" s="36" t="s">
        <v>40</v>
      </c>
      <c r="K450" s="34" t="s">
        <v>91</v>
      </c>
    </row>
    <row r="451" spans="1:11" ht="15.75">
      <c r="A451" s="33">
        <v>449</v>
      </c>
      <c r="B451" s="16" t="s">
        <v>453</v>
      </c>
      <c r="C451" s="34" t="s">
        <v>343</v>
      </c>
      <c r="D451" s="116" t="str">
        <f>"9200120"</f>
        <v>9200120</v>
      </c>
      <c r="E451" s="34" t="s">
        <v>468</v>
      </c>
      <c r="F451" s="2" t="s">
        <v>27</v>
      </c>
      <c r="G451" s="76" t="s">
        <v>224</v>
      </c>
      <c r="H451" s="12" t="s">
        <v>475</v>
      </c>
      <c r="I451" s="36">
        <v>1951</v>
      </c>
      <c r="J451" s="36" t="s">
        <v>40</v>
      </c>
      <c r="K451" s="34" t="s">
        <v>91</v>
      </c>
    </row>
    <row r="452" spans="1:11" ht="15.75">
      <c r="A452" s="33">
        <v>450</v>
      </c>
      <c r="B452" s="16" t="s">
        <v>453</v>
      </c>
      <c r="C452" s="34" t="s">
        <v>353</v>
      </c>
      <c r="D452" t="str">
        <f>"9200134"</f>
        <v>9200134</v>
      </c>
      <c r="E452" s="34" t="s">
        <v>468</v>
      </c>
      <c r="F452" s="2" t="s">
        <v>27</v>
      </c>
      <c r="G452" s="76" t="s">
        <v>224</v>
      </c>
      <c r="H452" s="12" t="s">
        <v>237</v>
      </c>
      <c r="I452" s="36">
        <v>1971</v>
      </c>
      <c r="J452" s="36" t="s">
        <v>39</v>
      </c>
      <c r="K452" s="34" t="s">
        <v>139</v>
      </c>
    </row>
    <row r="453" spans="1:11" ht="15.75">
      <c r="A453" s="33">
        <v>451</v>
      </c>
      <c r="B453" s="16" t="s">
        <v>453</v>
      </c>
      <c r="C453" s="34" t="s">
        <v>354</v>
      </c>
      <c r="D453" t="str">
        <f>"9200460"</f>
        <v>9200460</v>
      </c>
      <c r="E453" s="34" t="s">
        <v>468</v>
      </c>
      <c r="F453" s="2" t="s">
        <v>27</v>
      </c>
      <c r="G453" s="76" t="s">
        <v>224</v>
      </c>
      <c r="H453" s="12" t="s">
        <v>483</v>
      </c>
      <c r="I453" s="36">
        <v>1958</v>
      </c>
      <c r="J453" s="36" t="s">
        <v>40</v>
      </c>
      <c r="K453" s="34" t="s">
        <v>91</v>
      </c>
    </row>
    <row r="454" spans="1:11" ht="15.75">
      <c r="A454" s="33">
        <v>452</v>
      </c>
      <c r="B454" s="16" t="s">
        <v>453</v>
      </c>
      <c r="C454" s="34" t="s">
        <v>355</v>
      </c>
      <c r="D454" t="str">
        <f>"9200562"</f>
        <v>9200562</v>
      </c>
      <c r="E454" s="34" t="s">
        <v>468</v>
      </c>
      <c r="F454" s="2" t="s">
        <v>27</v>
      </c>
      <c r="G454" s="76" t="s">
        <v>224</v>
      </c>
      <c r="H454" s="12" t="s">
        <v>471</v>
      </c>
      <c r="I454" s="36">
        <v>2004</v>
      </c>
      <c r="J454" s="36" t="s">
        <v>40</v>
      </c>
      <c r="K454" s="34" t="s">
        <v>91</v>
      </c>
    </row>
    <row r="455" spans="1:11" ht="15.75">
      <c r="A455" s="33">
        <v>453</v>
      </c>
      <c r="B455" s="16" t="s">
        <v>453</v>
      </c>
      <c r="C455" s="34" t="s">
        <v>356</v>
      </c>
      <c r="D455" t="str">
        <f>"9200048"</f>
        <v>9200048</v>
      </c>
      <c r="E455" s="34" t="s">
        <v>468</v>
      </c>
      <c r="F455" s="2" t="s">
        <v>27</v>
      </c>
      <c r="G455" s="76" t="s">
        <v>224</v>
      </c>
      <c r="H455" s="12" t="s">
        <v>238</v>
      </c>
      <c r="I455" s="36">
        <v>1990</v>
      </c>
      <c r="J455" s="36" t="s">
        <v>39</v>
      </c>
      <c r="K455" s="34" t="s">
        <v>91</v>
      </c>
    </row>
    <row r="456" spans="1:11" ht="15.75">
      <c r="A456" s="33">
        <v>454</v>
      </c>
      <c r="B456" s="16" t="s">
        <v>453</v>
      </c>
      <c r="C456" s="34" t="s">
        <v>363</v>
      </c>
      <c r="D456" t="str">
        <f>"9200151"</f>
        <v>9200151</v>
      </c>
      <c r="E456" s="34" t="s">
        <v>468</v>
      </c>
      <c r="F456" s="2" t="s">
        <v>27</v>
      </c>
      <c r="G456" s="76" t="s">
        <v>224</v>
      </c>
      <c r="H456" s="12" t="s">
        <v>493</v>
      </c>
      <c r="I456" s="36">
        <v>1995</v>
      </c>
      <c r="J456" s="36" t="s">
        <v>40</v>
      </c>
      <c r="K456" s="34" t="s">
        <v>91</v>
      </c>
    </row>
    <row r="457" spans="1:11" ht="15.75">
      <c r="A457" s="33">
        <v>455</v>
      </c>
      <c r="B457" s="16" t="s">
        <v>453</v>
      </c>
      <c r="C457" s="34" t="s">
        <v>364</v>
      </c>
      <c r="D457" t="str">
        <f>"9200516"</f>
        <v>9200516</v>
      </c>
      <c r="E457" s="34" t="s">
        <v>468</v>
      </c>
      <c r="F457" s="2" t="s">
        <v>27</v>
      </c>
      <c r="G457" s="76" t="s">
        <v>224</v>
      </c>
      <c r="H457" s="12" t="s">
        <v>242</v>
      </c>
      <c r="I457" s="36">
        <v>1952</v>
      </c>
      <c r="J457" s="36" t="s">
        <v>40</v>
      </c>
      <c r="K457" s="34" t="s">
        <v>91</v>
      </c>
    </row>
    <row r="458" spans="1:11" ht="15.75">
      <c r="A458" s="33">
        <v>456</v>
      </c>
      <c r="B458" s="16" t="s">
        <v>453</v>
      </c>
      <c r="C458" s="34" t="s">
        <v>366</v>
      </c>
      <c r="D458" t="str">
        <f>"9200156"</f>
        <v>9200156</v>
      </c>
      <c r="E458" s="34" t="s">
        <v>468</v>
      </c>
      <c r="F458" s="2" t="s">
        <v>27</v>
      </c>
      <c r="G458" s="76" t="s">
        <v>224</v>
      </c>
      <c r="H458" s="12" t="s">
        <v>486</v>
      </c>
      <c r="I458" s="36">
        <v>1991</v>
      </c>
      <c r="J458" s="36" t="s">
        <v>40</v>
      </c>
      <c r="K458" s="34" t="s">
        <v>91</v>
      </c>
    </row>
    <row r="459" spans="1:11" ht="15.75">
      <c r="A459" s="33">
        <v>457</v>
      </c>
      <c r="B459" s="16" t="s">
        <v>453</v>
      </c>
      <c r="C459" s="34" t="s">
        <v>367</v>
      </c>
      <c r="D459" t="str">
        <f>"9200598"</f>
        <v>9200598</v>
      </c>
      <c r="E459" s="34" t="s">
        <v>468</v>
      </c>
      <c r="F459" s="2" t="s">
        <v>27</v>
      </c>
      <c r="G459" s="76" t="s">
        <v>224</v>
      </c>
      <c r="H459" s="12" t="s">
        <v>494</v>
      </c>
      <c r="I459" s="36">
        <v>1936</v>
      </c>
      <c r="J459" s="36" t="s">
        <v>40</v>
      </c>
      <c r="K459" s="34" t="s">
        <v>91</v>
      </c>
    </row>
    <row r="460" spans="1:11" ht="15.75">
      <c r="A460" s="33">
        <v>458</v>
      </c>
      <c r="B460" s="16" t="s">
        <v>453</v>
      </c>
      <c r="C460" s="34" t="s">
        <v>371</v>
      </c>
      <c r="D460" t="str">
        <f>"9200262"</f>
        <v>9200262</v>
      </c>
      <c r="E460" s="34" t="s">
        <v>468</v>
      </c>
      <c r="F460" s="2" t="s">
        <v>27</v>
      </c>
      <c r="G460" s="76" t="s">
        <v>224</v>
      </c>
      <c r="H460" s="12" t="s">
        <v>239</v>
      </c>
      <c r="I460" s="36">
        <v>1986</v>
      </c>
      <c r="J460" s="36" t="s">
        <v>40</v>
      </c>
      <c r="K460" s="34" t="s">
        <v>91</v>
      </c>
    </row>
    <row r="461" spans="1:11" ht="15.75">
      <c r="A461" s="33">
        <v>459</v>
      </c>
      <c r="B461" s="16" t="s">
        <v>453</v>
      </c>
      <c r="C461" s="34" t="s">
        <v>372</v>
      </c>
      <c r="D461" t="str">
        <f>"9200066"</f>
        <v>9200066</v>
      </c>
      <c r="E461" s="34" t="s">
        <v>468</v>
      </c>
      <c r="F461" s="2" t="s">
        <v>27</v>
      </c>
      <c r="G461" s="76" t="s">
        <v>224</v>
      </c>
      <c r="H461" s="12" t="s">
        <v>332</v>
      </c>
      <c r="I461" s="36">
        <v>1990</v>
      </c>
      <c r="J461" s="36" t="s">
        <v>39</v>
      </c>
      <c r="K461" s="34" t="s">
        <v>91</v>
      </c>
    </row>
    <row r="462" spans="1:11" ht="15.75">
      <c r="A462" s="33">
        <v>460</v>
      </c>
      <c r="B462" s="16" t="s">
        <v>453</v>
      </c>
      <c r="C462" s="34" t="s">
        <v>373</v>
      </c>
      <c r="D462" t="str">
        <f>"9200453"</f>
        <v>9200453</v>
      </c>
      <c r="E462" s="34" t="s">
        <v>468</v>
      </c>
      <c r="F462" s="2" t="s">
        <v>27</v>
      </c>
      <c r="G462" s="76" t="s">
        <v>224</v>
      </c>
      <c r="H462" s="12" t="s">
        <v>495</v>
      </c>
      <c r="I462" s="36">
        <v>1967</v>
      </c>
      <c r="J462" s="36" t="s">
        <v>40</v>
      </c>
      <c r="K462" s="34" t="s">
        <v>91</v>
      </c>
    </row>
    <row r="463" spans="1:11" ht="15.75">
      <c r="A463" s="33">
        <v>461</v>
      </c>
      <c r="B463" s="16" t="s">
        <v>453</v>
      </c>
      <c r="C463" s="34" t="s">
        <v>376</v>
      </c>
      <c r="D463" t="str">
        <f>"9200481"</f>
        <v>9200481</v>
      </c>
      <c r="E463" s="34" t="s">
        <v>468</v>
      </c>
      <c r="F463" s="2" t="s">
        <v>27</v>
      </c>
      <c r="G463" s="76" t="s">
        <v>224</v>
      </c>
      <c r="H463" s="12" t="s">
        <v>244</v>
      </c>
      <c r="I463" s="36">
        <v>2006</v>
      </c>
      <c r="J463" s="36" t="s">
        <v>39</v>
      </c>
      <c r="K463" s="34" t="s">
        <v>91</v>
      </c>
    </row>
    <row r="464" spans="1:11" ht="15.75">
      <c r="A464" s="33">
        <v>462</v>
      </c>
      <c r="B464" s="16" t="s">
        <v>453</v>
      </c>
      <c r="C464" s="34" t="s">
        <v>323</v>
      </c>
      <c r="D464" t="str">
        <f>"9200294"</f>
        <v>9200294</v>
      </c>
      <c r="E464" s="34" t="s">
        <v>468</v>
      </c>
      <c r="F464" s="2" t="s">
        <v>27</v>
      </c>
      <c r="G464" s="76" t="s">
        <v>229</v>
      </c>
      <c r="H464" s="12" t="s">
        <v>229</v>
      </c>
      <c r="I464" s="36">
        <v>1994</v>
      </c>
      <c r="J464" s="36" t="s">
        <v>40</v>
      </c>
      <c r="K464" s="34" t="s">
        <v>91</v>
      </c>
    </row>
    <row r="465" spans="1:11" ht="15.75">
      <c r="A465" s="33">
        <v>463</v>
      </c>
      <c r="B465" s="16" t="s">
        <v>453</v>
      </c>
      <c r="C465" s="34" t="s">
        <v>324</v>
      </c>
      <c r="D465" t="str">
        <f>"9200297"</f>
        <v>9200297</v>
      </c>
      <c r="E465" s="34" t="s">
        <v>468</v>
      </c>
      <c r="F465" s="2" t="s">
        <v>27</v>
      </c>
      <c r="G465" s="76" t="s">
        <v>229</v>
      </c>
      <c r="H465" s="12" t="s">
        <v>229</v>
      </c>
      <c r="I465" s="36">
        <v>1951</v>
      </c>
      <c r="J465" s="36" t="s">
        <v>39</v>
      </c>
      <c r="K465" s="34" t="s">
        <v>91</v>
      </c>
    </row>
    <row r="466" spans="1:11" ht="15.75">
      <c r="A466" s="33">
        <v>464</v>
      </c>
      <c r="B466" s="16" t="s">
        <v>453</v>
      </c>
      <c r="C466" s="34" t="s">
        <v>325</v>
      </c>
      <c r="D466" t="str">
        <f>"9200299"</f>
        <v>9200299</v>
      </c>
      <c r="E466" s="34" t="s">
        <v>468</v>
      </c>
      <c r="F466" s="2" t="s">
        <v>27</v>
      </c>
      <c r="G466" s="76" t="s">
        <v>229</v>
      </c>
      <c r="H466" s="12" t="s">
        <v>229</v>
      </c>
      <c r="I466" s="36">
        <v>1950</v>
      </c>
      <c r="J466" s="36" t="s">
        <v>40</v>
      </c>
      <c r="K466" s="34" t="s">
        <v>91</v>
      </c>
    </row>
    <row r="467" spans="1:11" ht="15.75">
      <c r="A467" s="33">
        <v>465</v>
      </c>
      <c r="B467" s="16" t="s">
        <v>453</v>
      </c>
      <c r="C467" s="34" t="s">
        <v>341</v>
      </c>
      <c r="D467" t="str">
        <f>"9200317"</f>
        <v>9200317</v>
      </c>
      <c r="E467" s="34" t="s">
        <v>468</v>
      </c>
      <c r="F467" s="2" t="s">
        <v>27</v>
      </c>
      <c r="G467" s="76" t="s">
        <v>229</v>
      </c>
      <c r="H467" s="12" t="s">
        <v>342</v>
      </c>
      <c r="I467" s="36">
        <v>1954</v>
      </c>
      <c r="J467" s="36" t="s">
        <v>40</v>
      </c>
      <c r="K467" s="34" t="s">
        <v>91</v>
      </c>
    </row>
    <row r="468" spans="1:11" ht="15.75">
      <c r="A468" s="33">
        <v>466</v>
      </c>
      <c r="B468" s="16" t="s">
        <v>453</v>
      </c>
      <c r="C468" s="34" t="s">
        <v>351</v>
      </c>
      <c r="D468" t="str">
        <f>"9200524"</f>
        <v>9200524</v>
      </c>
      <c r="E468" s="34" t="s">
        <v>468</v>
      </c>
      <c r="F468" s="2" t="s">
        <v>27</v>
      </c>
      <c r="G468" s="76" t="s">
        <v>229</v>
      </c>
      <c r="H468" s="12" t="s">
        <v>229</v>
      </c>
      <c r="I468" s="36">
        <v>1986</v>
      </c>
      <c r="J468" s="36" t="s">
        <v>39</v>
      </c>
      <c r="K468" s="34" t="s">
        <v>91</v>
      </c>
    </row>
    <row r="469" spans="1:11" ht="15.75">
      <c r="A469" s="33">
        <v>467</v>
      </c>
      <c r="B469" s="16" t="s">
        <v>453</v>
      </c>
      <c r="C469" s="34" t="s">
        <v>333</v>
      </c>
      <c r="D469" t="str">
        <f>"9200089"</f>
        <v>9200089</v>
      </c>
      <c r="E469" s="34" t="s">
        <v>468</v>
      </c>
      <c r="F469" s="2" t="s">
        <v>27</v>
      </c>
      <c r="G469" s="76" t="s">
        <v>227</v>
      </c>
      <c r="H469" s="12" t="s">
        <v>472</v>
      </c>
      <c r="I469" s="36">
        <v>1994</v>
      </c>
      <c r="J469" s="36" t="s">
        <v>39</v>
      </c>
      <c r="K469" s="34" t="s">
        <v>91</v>
      </c>
    </row>
    <row r="470" spans="1:11" ht="15.75">
      <c r="A470" s="33">
        <v>468</v>
      </c>
      <c r="B470" s="16" t="s">
        <v>453</v>
      </c>
      <c r="C470" s="34" t="s">
        <v>336</v>
      </c>
      <c r="D470" t="str">
        <f>"9200283"</f>
        <v>9200283</v>
      </c>
      <c r="E470" s="34" t="s">
        <v>468</v>
      </c>
      <c r="F470" s="2" t="s">
        <v>27</v>
      </c>
      <c r="G470" s="76" t="s">
        <v>227</v>
      </c>
      <c r="H470" s="12" t="s">
        <v>473</v>
      </c>
      <c r="I470" s="36">
        <v>1963</v>
      </c>
      <c r="J470" s="36" t="s">
        <v>40</v>
      </c>
      <c r="K470" s="34" t="s">
        <v>91</v>
      </c>
    </row>
    <row r="471" spans="1:11" ht="15.75">
      <c r="A471" s="33">
        <v>469</v>
      </c>
      <c r="B471" s="16" t="s">
        <v>453</v>
      </c>
      <c r="C471" s="34" t="s">
        <v>358</v>
      </c>
      <c r="D471" t="str">
        <f>"9200086"</f>
        <v>9200086</v>
      </c>
      <c r="E471" s="34" t="s">
        <v>468</v>
      </c>
      <c r="F471" s="2" t="s">
        <v>27</v>
      </c>
      <c r="G471" s="76" t="s">
        <v>227</v>
      </c>
      <c r="H471" s="12" t="s">
        <v>227</v>
      </c>
      <c r="I471" s="36">
        <v>1991</v>
      </c>
      <c r="J471" s="36" t="s">
        <v>40</v>
      </c>
      <c r="K471" s="34" t="s">
        <v>91</v>
      </c>
    </row>
    <row r="472" spans="1:11" ht="15.75">
      <c r="A472" s="33">
        <v>470</v>
      </c>
      <c r="B472" s="16" t="s">
        <v>453</v>
      </c>
      <c r="C472" s="34" t="s">
        <v>359</v>
      </c>
      <c r="D472" t="str">
        <f>"9200093"</f>
        <v>9200093</v>
      </c>
      <c r="E472" s="34" t="s">
        <v>468</v>
      </c>
      <c r="F472" s="2" t="s">
        <v>27</v>
      </c>
      <c r="G472" s="76" t="s">
        <v>227</v>
      </c>
      <c r="H472" s="12" t="s">
        <v>360</v>
      </c>
      <c r="I472" s="36">
        <v>1958</v>
      </c>
      <c r="J472" s="36" t="s">
        <v>40</v>
      </c>
      <c r="K472" s="34" t="s">
        <v>91</v>
      </c>
    </row>
    <row r="473" spans="1:11" ht="15.75">
      <c r="A473" s="33">
        <v>471</v>
      </c>
      <c r="B473" s="16" t="s">
        <v>453</v>
      </c>
      <c r="C473" s="34" t="s">
        <v>362</v>
      </c>
      <c r="D473" t="str">
        <f>"9200537"</f>
        <v>9200537</v>
      </c>
      <c r="E473" s="34" t="s">
        <v>468</v>
      </c>
      <c r="F473" s="2" t="s">
        <v>27</v>
      </c>
      <c r="G473" s="76" t="s">
        <v>227</v>
      </c>
      <c r="H473" s="12" t="s">
        <v>502</v>
      </c>
      <c r="I473" s="81"/>
      <c r="J473" s="36" t="s">
        <v>40</v>
      </c>
      <c r="K473" s="34" t="s">
        <v>91</v>
      </c>
    </row>
    <row r="474" spans="1:11" ht="15.75">
      <c r="A474" s="33">
        <v>472</v>
      </c>
      <c r="B474" s="16" t="s">
        <v>453</v>
      </c>
      <c r="C474" s="34" t="s">
        <v>377</v>
      </c>
      <c r="D474" t="str">
        <f>"9200094"</f>
        <v>9200094</v>
      </c>
      <c r="E474" s="34" t="s">
        <v>468</v>
      </c>
      <c r="F474" s="2" t="s">
        <v>27</v>
      </c>
      <c r="G474" s="76" t="s">
        <v>227</v>
      </c>
      <c r="H474" s="12" t="s">
        <v>233</v>
      </c>
      <c r="I474" s="36">
        <v>1954</v>
      </c>
      <c r="J474" s="36" t="s">
        <v>40</v>
      </c>
      <c r="K474" s="34" t="s">
        <v>91</v>
      </c>
    </row>
    <row r="475" spans="1:11" ht="15.75">
      <c r="A475" s="33">
        <v>473</v>
      </c>
      <c r="B475" s="16" t="s">
        <v>453</v>
      </c>
      <c r="C475" s="34" t="s">
        <v>340</v>
      </c>
      <c r="D475" t="str">
        <f>"9200387"</f>
        <v>9200387</v>
      </c>
      <c r="E475" s="34" t="s">
        <v>468</v>
      </c>
      <c r="F475" s="2" t="s">
        <v>27</v>
      </c>
      <c r="G475" s="76" t="s">
        <v>225</v>
      </c>
      <c r="H475" s="12" t="s">
        <v>235</v>
      </c>
      <c r="I475" s="36">
        <v>1991</v>
      </c>
      <c r="J475" s="36" t="s">
        <v>39</v>
      </c>
      <c r="K475" s="34" t="s">
        <v>91</v>
      </c>
    </row>
    <row r="476" spans="1:11" ht="15.75">
      <c r="A476" s="33">
        <v>474</v>
      </c>
      <c r="B476" s="16" t="s">
        <v>453</v>
      </c>
      <c r="C476" s="34" t="s">
        <v>347</v>
      </c>
      <c r="D476" t="str">
        <f>"9200291"</f>
        <v>9200291</v>
      </c>
      <c r="E476" s="34" t="s">
        <v>468</v>
      </c>
      <c r="F476" s="2" t="s">
        <v>27</v>
      </c>
      <c r="G476" s="76" t="s">
        <v>225</v>
      </c>
      <c r="H476" s="12" t="s">
        <v>348</v>
      </c>
      <c r="I476" s="36">
        <v>1982</v>
      </c>
      <c r="J476" s="36" t="s">
        <v>40</v>
      </c>
      <c r="K476" s="34" t="s">
        <v>91</v>
      </c>
    </row>
    <row r="477" spans="1:11" ht="15.75">
      <c r="A477" s="33">
        <v>475</v>
      </c>
      <c r="B477" s="16" t="s">
        <v>453</v>
      </c>
      <c r="C477" s="34" t="s">
        <v>350</v>
      </c>
      <c r="D477" t="str">
        <f>"9200396"</f>
        <v>9200396</v>
      </c>
      <c r="E477" s="34" t="s">
        <v>468</v>
      </c>
      <c r="F477" s="2" t="s">
        <v>27</v>
      </c>
      <c r="G477" s="76" t="s">
        <v>225</v>
      </c>
      <c r="H477" s="12" t="s">
        <v>479</v>
      </c>
      <c r="I477" s="36">
        <v>1927</v>
      </c>
      <c r="J477" s="36" t="s">
        <v>40</v>
      </c>
      <c r="K477" s="34" t="s">
        <v>91</v>
      </c>
    </row>
    <row r="478" spans="1:11" ht="15.75">
      <c r="A478" s="33">
        <v>476</v>
      </c>
      <c r="B478" s="16" t="s">
        <v>453</v>
      </c>
      <c r="C478" s="34" t="s">
        <v>370</v>
      </c>
      <c r="D478" t="str">
        <f>"9200377"</f>
        <v>9200377</v>
      </c>
      <c r="E478" s="34" t="s">
        <v>468</v>
      </c>
      <c r="F478" s="2" t="s">
        <v>27</v>
      </c>
      <c r="G478" s="76" t="s">
        <v>225</v>
      </c>
      <c r="H478" s="12" t="s">
        <v>231</v>
      </c>
      <c r="I478" s="36">
        <v>1980</v>
      </c>
      <c r="J478" s="36" t="s">
        <v>39</v>
      </c>
      <c r="K478" s="34" t="s">
        <v>91</v>
      </c>
    </row>
    <row r="479" spans="1:11">
      <c r="A479" s="33">
        <v>477</v>
      </c>
      <c r="B479" s="16" t="s">
        <v>658</v>
      </c>
      <c r="C479" s="87" t="s">
        <v>584</v>
      </c>
      <c r="D479" t="str">
        <f>"9400002"</f>
        <v>9400002</v>
      </c>
      <c r="E479" s="87" t="s">
        <v>467</v>
      </c>
      <c r="F479" s="16" t="s">
        <v>28</v>
      </c>
      <c r="G479" s="34" t="s">
        <v>283</v>
      </c>
      <c r="H479" s="16" t="s">
        <v>286</v>
      </c>
      <c r="I479" s="88">
        <v>2012</v>
      </c>
      <c r="J479" s="37" t="s">
        <v>139</v>
      </c>
      <c r="K479" s="87" t="s">
        <v>91</v>
      </c>
    </row>
    <row r="480" spans="1:11">
      <c r="A480" s="33">
        <v>478</v>
      </c>
      <c r="B480" s="16" t="s">
        <v>658</v>
      </c>
      <c r="C480" s="87" t="s">
        <v>586</v>
      </c>
      <c r="D480" t="str">
        <f>"9400012"</f>
        <v>9400012</v>
      </c>
      <c r="E480" s="87" t="s">
        <v>467</v>
      </c>
      <c r="F480" s="16" t="s">
        <v>28</v>
      </c>
      <c r="G480" s="34" t="s">
        <v>283</v>
      </c>
      <c r="H480" s="16" t="s">
        <v>285</v>
      </c>
      <c r="I480" s="88">
        <v>2008</v>
      </c>
      <c r="J480" s="37" t="s">
        <v>91</v>
      </c>
      <c r="K480" s="87" t="s">
        <v>91</v>
      </c>
    </row>
    <row r="481" spans="1:11">
      <c r="A481" s="33">
        <v>479</v>
      </c>
      <c r="B481" s="16" t="s">
        <v>658</v>
      </c>
      <c r="C481" s="87" t="s">
        <v>591</v>
      </c>
      <c r="D481" t="str">
        <f>"9400014"</f>
        <v>9400014</v>
      </c>
      <c r="E481" s="87" t="s">
        <v>467</v>
      </c>
      <c r="F481" s="16" t="s">
        <v>28</v>
      </c>
      <c r="G481" s="34" t="s">
        <v>283</v>
      </c>
      <c r="H481" s="16" t="s">
        <v>285</v>
      </c>
      <c r="I481" s="88">
        <v>2014</v>
      </c>
      <c r="J481" s="37" t="s">
        <v>139</v>
      </c>
      <c r="K481" s="87" t="s">
        <v>91</v>
      </c>
    </row>
    <row r="482" spans="1:11">
      <c r="A482" s="33">
        <v>480</v>
      </c>
      <c r="B482" s="16" t="s">
        <v>658</v>
      </c>
      <c r="C482" s="87" t="s">
        <v>592</v>
      </c>
      <c r="D482" t="str">
        <f>"9400015"</f>
        <v>9400015</v>
      </c>
      <c r="E482" s="87" t="s">
        <v>467</v>
      </c>
      <c r="F482" s="16" t="s">
        <v>28</v>
      </c>
      <c r="G482" s="34" t="s">
        <v>283</v>
      </c>
      <c r="H482" s="16" t="s">
        <v>285</v>
      </c>
      <c r="I482" s="88">
        <v>1993</v>
      </c>
      <c r="J482" s="37" t="s">
        <v>139</v>
      </c>
      <c r="K482" s="87" t="s">
        <v>91</v>
      </c>
    </row>
    <row r="483" spans="1:11">
      <c r="A483" s="33">
        <v>481</v>
      </c>
      <c r="B483" s="16" t="s">
        <v>658</v>
      </c>
      <c r="C483" s="87" t="s">
        <v>599</v>
      </c>
      <c r="D483" t="str">
        <f>"9400016"</f>
        <v>9400016</v>
      </c>
      <c r="E483" s="87" t="s">
        <v>467</v>
      </c>
      <c r="F483" s="16" t="s">
        <v>28</v>
      </c>
      <c r="G483" s="34" t="s">
        <v>283</v>
      </c>
      <c r="H483" s="16" t="s">
        <v>661</v>
      </c>
      <c r="I483" s="81"/>
      <c r="J483" s="90" t="s">
        <v>91</v>
      </c>
      <c r="K483" s="87" t="s">
        <v>91</v>
      </c>
    </row>
    <row r="484" spans="1:11">
      <c r="A484" s="33">
        <v>482</v>
      </c>
      <c r="B484" s="16" t="s">
        <v>658</v>
      </c>
      <c r="C484" s="87" t="s">
        <v>612</v>
      </c>
      <c r="D484" t="str">
        <f>"9400040"</f>
        <v>9400040</v>
      </c>
      <c r="E484" s="87" t="s">
        <v>467</v>
      </c>
      <c r="F484" s="16" t="s">
        <v>28</v>
      </c>
      <c r="G484" s="34" t="s">
        <v>283</v>
      </c>
      <c r="H484" s="16" t="s">
        <v>673</v>
      </c>
      <c r="I484" s="88"/>
      <c r="J484" s="37" t="s">
        <v>91</v>
      </c>
      <c r="K484" s="87" t="s">
        <v>91</v>
      </c>
    </row>
    <row r="485" spans="1:11">
      <c r="A485" s="33">
        <v>483</v>
      </c>
      <c r="B485" s="16" t="s">
        <v>658</v>
      </c>
      <c r="C485" s="87" t="s">
        <v>607</v>
      </c>
      <c r="D485" t="str">
        <f>"9400055"</f>
        <v>9400055</v>
      </c>
      <c r="E485" s="87" t="s">
        <v>467</v>
      </c>
      <c r="F485" s="16" t="s">
        <v>28</v>
      </c>
      <c r="G485" s="34" t="s">
        <v>283</v>
      </c>
      <c r="H485" s="16" t="s">
        <v>668</v>
      </c>
      <c r="I485" s="88">
        <v>1950</v>
      </c>
      <c r="J485" s="37" t="s">
        <v>91</v>
      </c>
      <c r="K485" s="87" t="s">
        <v>91</v>
      </c>
    </row>
    <row r="486" spans="1:11">
      <c r="A486" s="33">
        <v>484</v>
      </c>
      <c r="B486" s="16" t="s">
        <v>658</v>
      </c>
      <c r="C486" s="87" t="s">
        <v>609</v>
      </c>
      <c r="D486" t="str">
        <f>"9400030"</f>
        <v>9400030</v>
      </c>
      <c r="E486" s="87" t="s">
        <v>467</v>
      </c>
      <c r="F486" s="16" t="s">
        <v>28</v>
      </c>
      <c r="G486" s="34" t="s">
        <v>283</v>
      </c>
      <c r="H486" s="16" t="s">
        <v>670</v>
      </c>
      <c r="I486" s="88">
        <v>1972</v>
      </c>
      <c r="J486" s="37" t="s">
        <v>91</v>
      </c>
      <c r="K486" s="87" t="s">
        <v>91</v>
      </c>
    </row>
    <row r="487" spans="1:11">
      <c r="A487" s="33">
        <v>485</v>
      </c>
      <c r="B487" s="16" t="s">
        <v>658</v>
      </c>
      <c r="C487" s="87" t="s">
        <v>582</v>
      </c>
      <c r="D487" t="str">
        <f>"9400143"</f>
        <v>9400143</v>
      </c>
      <c r="E487" s="87" t="s">
        <v>467</v>
      </c>
      <c r="F487" s="16" t="s">
        <v>28</v>
      </c>
      <c r="G487" s="34" t="s">
        <v>284</v>
      </c>
      <c r="H487" s="16" t="s">
        <v>287</v>
      </c>
      <c r="I487" s="88">
        <v>1983</v>
      </c>
      <c r="J487" s="37" t="s">
        <v>139</v>
      </c>
      <c r="K487" s="87" t="s">
        <v>91</v>
      </c>
    </row>
    <row r="488" spans="1:11">
      <c r="A488" s="33">
        <v>486</v>
      </c>
      <c r="B488" s="16" t="s">
        <v>658</v>
      </c>
      <c r="C488" s="87" t="s">
        <v>583</v>
      </c>
      <c r="D488" t="str">
        <f>"9520632"</f>
        <v>9520632</v>
      </c>
      <c r="E488" s="87" t="s">
        <v>467</v>
      </c>
      <c r="F488" s="16" t="s">
        <v>28</v>
      </c>
      <c r="G488" s="34" t="s">
        <v>284</v>
      </c>
      <c r="H488" s="16" t="s">
        <v>284</v>
      </c>
      <c r="I488" s="88">
        <v>1953</v>
      </c>
      <c r="J488" s="89" t="s">
        <v>91</v>
      </c>
      <c r="K488" s="87" t="s">
        <v>91</v>
      </c>
    </row>
    <row r="489" spans="1:11">
      <c r="A489" s="33">
        <v>487</v>
      </c>
      <c r="B489" s="16" t="s">
        <v>658</v>
      </c>
      <c r="C489" s="87" t="s">
        <v>588</v>
      </c>
      <c r="D489" t="str">
        <f>"9520633"</f>
        <v>9520633</v>
      </c>
      <c r="E489" s="87" t="s">
        <v>467</v>
      </c>
      <c r="F489" s="16" t="s">
        <v>28</v>
      </c>
      <c r="G489" s="34" t="s">
        <v>284</v>
      </c>
      <c r="H489" s="16" t="s">
        <v>284</v>
      </c>
      <c r="I489" s="88">
        <v>2003</v>
      </c>
      <c r="J489" s="37" t="s">
        <v>659</v>
      </c>
      <c r="K489" s="87" t="s">
        <v>91</v>
      </c>
    </row>
    <row r="490" spans="1:11">
      <c r="A490" s="33">
        <v>488</v>
      </c>
      <c r="B490" s="16" t="s">
        <v>658</v>
      </c>
      <c r="C490" s="87" t="s">
        <v>589</v>
      </c>
      <c r="D490" t="str">
        <f>"9400214"</f>
        <v>9400214</v>
      </c>
      <c r="E490" s="87" t="s">
        <v>467</v>
      </c>
      <c r="F490" s="16" t="s">
        <v>28</v>
      </c>
      <c r="G490" s="34" t="s">
        <v>284</v>
      </c>
      <c r="H490" s="16" t="s">
        <v>287</v>
      </c>
      <c r="I490" s="88">
        <v>1990</v>
      </c>
      <c r="J490" s="89" t="s">
        <v>91</v>
      </c>
      <c r="K490" s="87" t="s">
        <v>91</v>
      </c>
    </row>
    <row r="491" spans="1:11">
      <c r="A491" s="33">
        <v>489</v>
      </c>
      <c r="B491" s="16" t="s">
        <v>658</v>
      </c>
      <c r="C491" s="87" t="s">
        <v>598</v>
      </c>
      <c r="D491" t="str">
        <f>"9400107"</f>
        <v>9400107</v>
      </c>
      <c r="E491" s="87" t="s">
        <v>467</v>
      </c>
      <c r="F491" s="16" t="s">
        <v>28</v>
      </c>
      <c r="G491" s="34" t="s">
        <v>284</v>
      </c>
      <c r="H491" s="16" t="s">
        <v>660</v>
      </c>
      <c r="I491" s="88">
        <v>1955</v>
      </c>
      <c r="J491" s="89" t="s">
        <v>91</v>
      </c>
      <c r="K491" s="87" t="s">
        <v>91</v>
      </c>
    </row>
    <row r="492" spans="1:11">
      <c r="A492" s="33">
        <v>490</v>
      </c>
      <c r="B492" s="16" t="s">
        <v>658</v>
      </c>
      <c r="C492" s="87" t="s">
        <v>600</v>
      </c>
      <c r="D492" t="str">
        <f>"9400114"</f>
        <v>9400114</v>
      </c>
      <c r="E492" s="87" t="s">
        <v>467</v>
      </c>
      <c r="F492" s="16" t="s">
        <v>28</v>
      </c>
      <c r="G492" s="34" t="s">
        <v>284</v>
      </c>
      <c r="H492" s="16" t="s">
        <v>662</v>
      </c>
      <c r="I492" s="81"/>
      <c r="J492" s="91" t="s">
        <v>91</v>
      </c>
      <c r="K492" s="87" t="s">
        <v>91</v>
      </c>
    </row>
    <row r="493" spans="1:11">
      <c r="A493" s="33">
        <v>491</v>
      </c>
      <c r="B493" s="16" t="s">
        <v>658</v>
      </c>
      <c r="C493" s="87" t="s">
        <v>601</v>
      </c>
      <c r="D493" t="str">
        <f>"9400128"</f>
        <v>9400128</v>
      </c>
      <c r="E493" s="87" t="s">
        <v>467</v>
      </c>
      <c r="F493" s="16" t="s">
        <v>28</v>
      </c>
      <c r="G493" s="34" t="s">
        <v>284</v>
      </c>
      <c r="H493" s="16" t="s">
        <v>663</v>
      </c>
      <c r="I493" s="88">
        <v>1983</v>
      </c>
      <c r="J493" s="89" t="s">
        <v>91</v>
      </c>
      <c r="K493" s="87" t="s">
        <v>91</v>
      </c>
    </row>
    <row r="494" spans="1:11">
      <c r="A494" s="33">
        <v>492</v>
      </c>
      <c r="B494" s="16" t="s">
        <v>658</v>
      </c>
      <c r="C494" s="87" t="s">
        <v>604</v>
      </c>
      <c r="D494" t="str">
        <f>"9400164"</f>
        <v>9400164</v>
      </c>
      <c r="E494" s="87" t="s">
        <v>467</v>
      </c>
      <c r="F494" s="16" t="s">
        <v>28</v>
      </c>
      <c r="G494" s="34" t="s">
        <v>284</v>
      </c>
      <c r="H494" s="16" t="s">
        <v>665</v>
      </c>
      <c r="I494" s="88">
        <v>1985</v>
      </c>
      <c r="J494" s="89" t="s">
        <v>91</v>
      </c>
      <c r="K494" s="87" t="s">
        <v>91</v>
      </c>
    </row>
    <row r="495" spans="1:11">
      <c r="A495" s="33">
        <v>493</v>
      </c>
      <c r="B495" s="16" t="s">
        <v>658</v>
      </c>
      <c r="C495" s="87" t="s">
        <v>585</v>
      </c>
      <c r="D495" t="str">
        <f>"9400007"</f>
        <v>9400007</v>
      </c>
      <c r="E495" s="87" t="s">
        <v>467</v>
      </c>
      <c r="F495" s="16" t="s">
        <v>28</v>
      </c>
      <c r="G495" s="34" t="s">
        <v>28</v>
      </c>
      <c r="H495" s="16" t="s">
        <v>28</v>
      </c>
      <c r="I495" s="88">
        <v>1952</v>
      </c>
      <c r="J495" s="37" t="s">
        <v>91</v>
      </c>
      <c r="K495" s="87" t="s">
        <v>91</v>
      </c>
    </row>
    <row r="496" spans="1:11">
      <c r="A496" s="33">
        <v>494</v>
      </c>
      <c r="B496" s="16" t="s">
        <v>658</v>
      </c>
      <c r="C496" s="87" t="s">
        <v>587</v>
      </c>
      <c r="D496" t="str">
        <f>"9400232"</f>
        <v>9400232</v>
      </c>
      <c r="E496" s="87" t="s">
        <v>467</v>
      </c>
      <c r="F496" s="16" t="s">
        <v>28</v>
      </c>
      <c r="G496" s="34" t="s">
        <v>28</v>
      </c>
      <c r="H496" s="16" t="s">
        <v>28</v>
      </c>
      <c r="I496" s="88">
        <v>1993</v>
      </c>
      <c r="J496" s="37" t="s">
        <v>139</v>
      </c>
      <c r="K496" s="87" t="s">
        <v>91</v>
      </c>
    </row>
    <row r="497" spans="1:11">
      <c r="A497" s="33">
        <v>495</v>
      </c>
      <c r="B497" s="16" t="s">
        <v>658</v>
      </c>
      <c r="C497" s="87" t="s">
        <v>590</v>
      </c>
      <c r="D497" t="str">
        <f>"9400009"</f>
        <v>9400009</v>
      </c>
      <c r="E497" s="87" t="s">
        <v>467</v>
      </c>
      <c r="F497" s="16" t="s">
        <v>28</v>
      </c>
      <c r="G497" s="34" t="s">
        <v>28</v>
      </c>
      <c r="H497" s="16" t="s">
        <v>28</v>
      </c>
      <c r="I497" s="88">
        <v>1963</v>
      </c>
      <c r="J497" s="37" t="s">
        <v>139</v>
      </c>
      <c r="K497" s="87" t="s">
        <v>91</v>
      </c>
    </row>
    <row r="498" spans="1:11">
      <c r="A498" s="33">
        <v>496</v>
      </c>
      <c r="B498" s="24" t="s">
        <v>658</v>
      </c>
      <c r="C498" s="92" t="s">
        <v>831</v>
      </c>
      <c r="D498" t="str">
        <f>"9400105"</f>
        <v>9400105</v>
      </c>
      <c r="E498" s="92" t="s">
        <v>467</v>
      </c>
      <c r="F498" s="24" t="s">
        <v>28</v>
      </c>
      <c r="G498" s="93" t="s">
        <v>28</v>
      </c>
      <c r="H498" s="24" t="s">
        <v>28</v>
      </c>
      <c r="I498" s="94">
        <v>1952</v>
      </c>
      <c r="J498" s="50" t="s">
        <v>139</v>
      </c>
      <c r="K498" s="92" t="s">
        <v>91</v>
      </c>
    </row>
    <row r="499" spans="1:11">
      <c r="A499" s="33">
        <v>497</v>
      </c>
      <c r="B499" s="16" t="s">
        <v>658</v>
      </c>
      <c r="C499" s="87" t="s">
        <v>593</v>
      </c>
      <c r="D499" t="str">
        <f>"9400106"</f>
        <v>9400106</v>
      </c>
      <c r="E499" s="87" t="s">
        <v>467</v>
      </c>
      <c r="F499" s="16" t="s">
        <v>28</v>
      </c>
      <c r="G499" s="34" t="s">
        <v>28</v>
      </c>
      <c r="H499" s="16" t="s">
        <v>28</v>
      </c>
      <c r="I499" s="88">
        <v>2008</v>
      </c>
      <c r="J499" s="37" t="s">
        <v>139</v>
      </c>
      <c r="K499" s="87" t="s">
        <v>91</v>
      </c>
    </row>
    <row r="500" spans="1:11">
      <c r="A500" s="33">
        <v>498</v>
      </c>
      <c r="B500" s="16" t="s">
        <v>658</v>
      </c>
      <c r="C500" s="87" t="s">
        <v>594</v>
      </c>
      <c r="D500" t="str">
        <f>"9400097"</f>
        <v>9400097</v>
      </c>
      <c r="E500" s="87" t="s">
        <v>467</v>
      </c>
      <c r="F500" s="16" t="s">
        <v>28</v>
      </c>
      <c r="G500" s="34" t="s">
        <v>28</v>
      </c>
      <c r="H500" s="16" t="s">
        <v>28</v>
      </c>
      <c r="I500" s="88">
        <v>1998</v>
      </c>
      <c r="J500" s="37" t="s">
        <v>139</v>
      </c>
      <c r="K500" s="87" t="s">
        <v>91</v>
      </c>
    </row>
    <row r="501" spans="1:11">
      <c r="A501" s="33">
        <v>499</v>
      </c>
      <c r="B501" s="16" t="s">
        <v>658</v>
      </c>
      <c r="C501" s="87" t="s">
        <v>595</v>
      </c>
      <c r="D501" t="str">
        <f>"9400215"</f>
        <v>9400215</v>
      </c>
      <c r="E501" s="87" t="s">
        <v>467</v>
      </c>
      <c r="F501" s="16" t="s">
        <v>28</v>
      </c>
      <c r="G501" s="34" t="s">
        <v>28</v>
      </c>
      <c r="H501" s="16" t="s">
        <v>28</v>
      </c>
      <c r="I501" s="88">
        <v>1985</v>
      </c>
      <c r="J501" s="37" t="s">
        <v>139</v>
      </c>
      <c r="K501" s="87" t="s">
        <v>91</v>
      </c>
    </row>
    <row r="502" spans="1:11">
      <c r="A502" s="33">
        <v>500</v>
      </c>
      <c r="B502" s="16" t="s">
        <v>658</v>
      </c>
      <c r="C502" s="87" t="s">
        <v>596</v>
      </c>
      <c r="D502" t="str">
        <f>"9400230"</f>
        <v>9400230</v>
      </c>
      <c r="E502" s="87" t="s">
        <v>467</v>
      </c>
      <c r="F502" s="16" t="s">
        <v>28</v>
      </c>
      <c r="G502" s="34" t="s">
        <v>28</v>
      </c>
      <c r="H502" s="16" t="s">
        <v>28</v>
      </c>
      <c r="I502" s="88">
        <v>1988</v>
      </c>
      <c r="J502" s="37" t="s">
        <v>139</v>
      </c>
      <c r="K502" s="87" t="s">
        <v>91</v>
      </c>
    </row>
    <row r="503" spans="1:11">
      <c r="A503" s="33">
        <v>501</v>
      </c>
      <c r="B503" s="16" t="s">
        <v>658</v>
      </c>
      <c r="C503" s="87" t="s">
        <v>597</v>
      </c>
      <c r="D503" t="str">
        <f>"9400099"</f>
        <v>9400099</v>
      </c>
      <c r="E503" s="87" t="s">
        <v>467</v>
      </c>
      <c r="F503" s="16" t="s">
        <v>28</v>
      </c>
      <c r="G503" s="34" t="s">
        <v>28</v>
      </c>
      <c r="H503" s="16" t="s">
        <v>28</v>
      </c>
      <c r="I503" s="81"/>
      <c r="J503" s="90" t="s">
        <v>91</v>
      </c>
      <c r="K503" s="87" t="s">
        <v>91</v>
      </c>
    </row>
    <row r="504" spans="1:11">
      <c r="A504" s="33">
        <v>502</v>
      </c>
      <c r="B504" s="16" t="s">
        <v>658</v>
      </c>
      <c r="C504" s="87" t="s">
        <v>602</v>
      </c>
      <c r="D504" t="str">
        <f>"9400139"</f>
        <v>9400139</v>
      </c>
      <c r="E504" s="87" t="s">
        <v>467</v>
      </c>
      <c r="F504" s="16" t="s">
        <v>28</v>
      </c>
      <c r="G504" s="34" t="s">
        <v>28</v>
      </c>
      <c r="H504" s="16" t="s">
        <v>664</v>
      </c>
      <c r="I504" s="88">
        <v>1950</v>
      </c>
      <c r="J504" s="89" t="s">
        <v>91</v>
      </c>
      <c r="K504" s="87" t="s">
        <v>91</v>
      </c>
    </row>
    <row r="505" spans="1:11">
      <c r="A505" s="33">
        <v>503</v>
      </c>
      <c r="B505" s="16" t="s">
        <v>658</v>
      </c>
      <c r="C505" s="87" t="s">
        <v>603</v>
      </c>
      <c r="D505" t="str">
        <f>"9400048"</f>
        <v>9400048</v>
      </c>
      <c r="E505" s="87" t="s">
        <v>467</v>
      </c>
      <c r="F505" s="16" t="s">
        <v>28</v>
      </c>
      <c r="G505" s="34" t="s">
        <v>28</v>
      </c>
      <c r="H505" s="16" t="s">
        <v>288</v>
      </c>
      <c r="I505" s="88">
        <v>1985</v>
      </c>
      <c r="J505" s="37" t="s">
        <v>139</v>
      </c>
      <c r="K505" s="87" t="s">
        <v>91</v>
      </c>
    </row>
    <row r="506" spans="1:11">
      <c r="A506" s="33">
        <v>504</v>
      </c>
      <c r="B506" s="16" t="s">
        <v>658</v>
      </c>
      <c r="C506" s="87" t="s">
        <v>605</v>
      </c>
      <c r="D506" t="str">
        <f>"9400100"</f>
        <v>9400100</v>
      </c>
      <c r="E506" s="87" t="s">
        <v>467</v>
      </c>
      <c r="F506" s="16" t="s">
        <v>28</v>
      </c>
      <c r="G506" s="34" t="s">
        <v>28</v>
      </c>
      <c r="H506" s="16" t="s">
        <v>666</v>
      </c>
      <c r="I506" s="81">
        <v>1956</v>
      </c>
      <c r="J506" s="90" t="s">
        <v>91</v>
      </c>
      <c r="K506" s="87" t="s">
        <v>91</v>
      </c>
    </row>
    <row r="507" spans="1:11">
      <c r="A507" s="33">
        <v>505</v>
      </c>
      <c r="B507" s="16" t="s">
        <v>658</v>
      </c>
      <c r="C507" s="87" t="s">
        <v>606</v>
      </c>
      <c r="D507" t="str">
        <f>"9400203"</f>
        <v>9400203</v>
      </c>
      <c r="E507" s="87" t="s">
        <v>467</v>
      </c>
      <c r="F507" s="16" t="s">
        <v>28</v>
      </c>
      <c r="G507" s="34" t="s">
        <v>28</v>
      </c>
      <c r="H507" s="16" t="s">
        <v>667</v>
      </c>
      <c r="I507" s="88">
        <v>1973</v>
      </c>
      <c r="J507" s="37" t="s">
        <v>91</v>
      </c>
      <c r="K507" s="87" t="s">
        <v>91</v>
      </c>
    </row>
    <row r="508" spans="1:11">
      <c r="A508" s="33">
        <v>506</v>
      </c>
      <c r="B508" s="16" t="s">
        <v>658</v>
      </c>
      <c r="C508" s="87" t="s">
        <v>608</v>
      </c>
      <c r="D508" t="str">
        <f>"9400061"</f>
        <v>9400061</v>
      </c>
      <c r="E508" s="87" t="s">
        <v>467</v>
      </c>
      <c r="F508" s="16" t="s">
        <v>28</v>
      </c>
      <c r="G508" s="34" t="s">
        <v>28</v>
      </c>
      <c r="H508" s="16" t="s">
        <v>669</v>
      </c>
      <c r="I508" s="88">
        <v>1950</v>
      </c>
      <c r="J508" s="37" t="s">
        <v>91</v>
      </c>
      <c r="K508" s="87" t="s">
        <v>91</v>
      </c>
    </row>
    <row r="509" spans="1:11">
      <c r="A509" s="33">
        <v>507</v>
      </c>
      <c r="B509" s="16" t="s">
        <v>658</v>
      </c>
      <c r="C509" s="87" t="s">
        <v>610</v>
      </c>
      <c r="D509" t="str">
        <f>"9521346"</f>
        <v>9521346</v>
      </c>
      <c r="E509" s="87" t="s">
        <v>467</v>
      </c>
      <c r="F509" s="16" t="s">
        <v>28</v>
      </c>
      <c r="G509" s="34" t="s">
        <v>28</v>
      </c>
      <c r="H509" s="16" t="s">
        <v>671</v>
      </c>
      <c r="I509" s="88">
        <v>2005</v>
      </c>
      <c r="J509" s="37" t="s">
        <v>139</v>
      </c>
      <c r="K509" s="87" t="s">
        <v>91</v>
      </c>
    </row>
    <row r="510" spans="1:11">
      <c r="A510" s="33">
        <v>508</v>
      </c>
      <c r="B510" s="16" t="s">
        <v>658</v>
      </c>
      <c r="C510" s="87" t="s">
        <v>611</v>
      </c>
      <c r="D510" t="str">
        <f>"9400188"</f>
        <v>9400188</v>
      </c>
      <c r="E510" s="87" t="s">
        <v>467</v>
      </c>
      <c r="F510" s="16" t="s">
        <v>28</v>
      </c>
      <c r="G510" s="34" t="s">
        <v>28</v>
      </c>
      <c r="H510" s="16" t="s">
        <v>672</v>
      </c>
      <c r="I510" s="88">
        <v>1992</v>
      </c>
      <c r="J510" s="37" t="s">
        <v>91</v>
      </c>
      <c r="K510" s="87" t="s">
        <v>91</v>
      </c>
    </row>
    <row r="511" spans="1:11">
      <c r="A511" s="33">
        <v>509</v>
      </c>
      <c r="B511" s="16" t="s">
        <v>658</v>
      </c>
      <c r="C511" s="87" t="s">
        <v>619</v>
      </c>
      <c r="D511" t="str">
        <f>"9400001"</f>
        <v>9400001</v>
      </c>
      <c r="E511" s="87" t="s">
        <v>468</v>
      </c>
      <c r="F511" s="16" t="s">
        <v>28</v>
      </c>
      <c r="G511" s="34" t="s">
        <v>283</v>
      </c>
      <c r="H511" s="16" t="s">
        <v>286</v>
      </c>
      <c r="I511" s="88">
        <v>1993</v>
      </c>
      <c r="J511" s="37" t="s">
        <v>139</v>
      </c>
      <c r="K511" s="87" t="s">
        <v>91</v>
      </c>
    </row>
    <row r="512" spans="1:11">
      <c r="A512" s="33">
        <v>510</v>
      </c>
      <c r="B512" s="16" t="s">
        <v>658</v>
      </c>
      <c r="C512" s="87" t="s">
        <v>623</v>
      </c>
      <c r="D512" t="str">
        <f>"9400011"</f>
        <v>9400011</v>
      </c>
      <c r="E512" s="87" t="s">
        <v>468</v>
      </c>
      <c r="F512" s="16" t="s">
        <v>28</v>
      </c>
      <c r="G512" s="34" t="s">
        <v>283</v>
      </c>
      <c r="H512" s="16" t="s">
        <v>285</v>
      </c>
      <c r="I512" s="88">
        <v>1988</v>
      </c>
      <c r="J512" s="37" t="s">
        <v>139</v>
      </c>
      <c r="K512" s="87" t="s">
        <v>91</v>
      </c>
    </row>
    <row r="513" spans="1:11">
      <c r="A513" s="33">
        <v>511</v>
      </c>
      <c r="B513" s="16" t="s">
        <v>658</v>
      </c>
      <c r="C513" s="87" t="s">
        <v>624</v>
      </c>
      <c r="D513" t="str">
        <f>"9400004"</f>
        <v>9400004</v>
      </c>
      <c r="E513" s="87" t="s">
        <v>468</v>
      </c>
      <c r="F513" s="16" t="s">
        <v>28</v>
      </c>
      <c r="G513" s="34" t="s">
        <v>283</v>
      </c>
      <c r="H513" s="16" t="s">
        <v>286</v>
      </c>
      <c r="I513" s="88">
        <v>1987</v>
      </c>
      <c r="J513" s="37" t="s">
        <v>139</v>
      </c>
      <c r="K513" s="87" t="s">
        <v>91</v>
      </c>
    </row>
    <row r="514" spans="1:11">
      <c r="A514" s="33">
        <v>512</v>
      </c>
      <c r="B514" s="16" t="s">
        <v>658</v>
      </c>
      <c r="C514" s="87" t="s">
        <v>628</v>
      </c>
      <c r="D514" t="str">
        <f>"9400013"</f>
        <v>9400013</v>
      </c>
      <c r="E514" s="87" t="s">
        <v>468</v>
      </c>
      <c r="F514" s="16" t="s">
        <v>28</v>
      </c>
      <c r="G514" s="34" t="s">
        <v>283</v>
      </c>
      <c r="H514" s="16" t="s">
        <v>285</v>
      </c>
      <c r="I514" s="88">
        <v>1952</v>
      </c>
      <c r="J514" s="37" t="s">
        <v>91</v>
      </c>
      <c r="K514" s="87" t="s">
        <v>91</v>
      </c>
    </row>
    <row r="515" spans="1:11">
      <c r="A515" s="33">
        <v>513</v>
      </c>
      <c r="B515" s="16" t="s">
        <v>658</v>
      </c>
      <c r="C515" s="87" t="s">
        <v>629</v>
      </c>
      <c r="D515" t="str">
        <f>"9400010"</f>
        <v>9400010</v>
      </c>
      <c r="E515" s="87" t="s">
        <v>468</v>
      </c>
      <c r="F515" s="16" t="s">
        <v>28</v>
      </c>
      <c r="G515" s="34" t="s">
        <v>283</v>
      </c>
      <c r="H515" s="16" t="s">
        <v>285</v>
      </c>
      <c r="I515" s="88">
        <v>2005</v>
      </c>
      <c r="J515" s="37" t="s">
        <v>139</v>
      </c>
      <c r="K515" s="87" t="s">
        <v>91</v>
      </c>
    </row>
    <row r="516" spans="1:11">
      <c r="A516" s="33">
        <v>514</v>
      </c>
      <c r="B516" s="16" t="s">
        <v>658</v>
      </c>
      <c r="C516" s="87" t="s">
        <v>631</v>
      </c>
      <c r="D516" t="str">
        <f>"9400237"</f>
        <v>9400237</v>
      </c>
      <c r="E516" s="87" t="s">
        <v>468</v>
      </c>
      <c r="F516" s="16" t="s">
        <v>28</v>
      </c>
      <c r="G516" s="34" t="s">
        <v>283</v>
      </c>
      <c r="H516" s="16" t="s">
        <v>285</v>
      </c>
      <c r="I516" s="88">
        <v>1950</v>
      </c>
      <c r="J516" s="37" t="s">
        <v>91</v>
      </c>
      <c r="K516" s="87" t="s">
        <v>91</v>
      </c>
    </row>
    <row r="517" spans="1:11">
      <c r="A517" s="33">
        <v>515</v>
      </c>
      <c r="B517" s="16" t="s">
        <v>658</v>
      </c>
      <c r="C517" s="87" t="s">
        <v>638</v>
      </c>
      <c r="D517" t="str">
        <f>"9400206"</f>
        <v>9400206</v>
      </c>
      <c r="E517" s="87" t="s">
        <v>468</v>
      </c>
      <c r="F517" s="16" t="s">
        <v>28</v>
      </c>
      <c r="G517" s="34" t="s">
        <v>283</v>
      </c>
      <c r="H517" s="16" t="s">
        <v>676</v>
      </c>
      <c r="I517" s="81"/>
      <c r="J517" s="90" t="s">
        <v>91</v>
      </c>
      <c r="K517" s="87" t="s">
        <v>91</v>
      </c>
    </row>
    <row r="518" spans="1:11">
      <c r="A518" s="33">
        <v>516</v>
      </c>
      <c r="B518" s="16" t="s">
        <v>658</v>
      </c>
      <c r="C518" s="87" t="s">
        <v>640</v>
      </c>
      <c r="D518" t="str">
        <f>"9400017"</f>
        <v>9400017</v>
      </c>
      <c r="E518" s="87" t="s">
        <v>468</v>
      </c>
      <c r="F518" s="16" t="s">
        <v>28</v>
      </c>
      <c r="G518" s="34" t="s">
        <v>283</v>
      </c>
      <c r="H518" s="16" t="s">
        <v>661</v>
      </c>
      <c r="I518" s="88">
        <v>1987</v>
      </c>
      <c r="J518" s="37" t="s">
        <v>139</v>
      </c>
      <c r="K518" s="87" t="s">
        <v>91</v>
      </c>
    </row>
    <row r="519" spans="1:11">
      <c r="A519" s="33">
        <v>517</v>
      </c>
      <c r="B519" s="16" t="s">
        <v>658</v>
      </c>
      <c r="C519" s="87" t="s">
        <v>657</v>
      </c>
      <c r="D519" t="str">
        <f>"9400210"</f>
        <v>9400210</v>
      </c>
      <c r="E519" s="87" t="s">
        <v>468</v>
      </c>
      <c r="F519" s="16" t="s">
        <v>28</v>
      </c>
      <c r="G519" s="34" t="s">
        <v>283</v>
      </c>
      <c r="H519" s="16" t="s">
        <v>673</v>
      </c>
      <c r="I519" s="88"/>
      <c r="J519" s="37" t="s">
        <v>91</v>
      </c>
      <c r="K519" s="87" t="s">
        <v>91</v>
      </c>
    </row>
    <row r="520" spans="1:11">
      <c r="A520" s="33">
        <v>518</v>
      </c>
      <c r="B520" s="16" t="s">
        <v>658</v>
      </c>
      <c r="C520" s="87" t="s">
        <v>649</v>
      </c>
      <c r="D520" t="str">
        <f>"9400054"</f>
        <v>9400054</v>
      </c>
      <c r="E520" s="87" t="s">
        <v>468</v>
      </c>
      <c r="F520" s="16" t="s">
        <v>28</v>
      </c>
      <c r="G520" s="34" t="s">
        <v>283</v>
      </c>
      <c r="H520" s="16" t="s">
        <v>668</v>
      </c>
      <c r="I520" s="88">
        <v>1983</v>
      </c>
      <c r="J520" s="37" t="s">
        <v>91</v>
      </c>
      <c r="K520" s="87" t="s">
        <v>91</v>
      </c>
    </row>
    <row r="521" spans="1:11">
      <c r="A521" s="33">
        <v>519</v>
      </c>
      <c r="B521" s="16" t="s">
        <v>658</v>
      </c>
      <c r="C521" s="87" t="s">
        <v>652</v>
      </c>
      <c r="D521" t="str">
        <f>"9400027"</f>
        <v>9400027</v>
      </c>
      <c r="E521" s="87" t="s">
        <v>468</v>
      </c>
      <c r="F521" s="16" t="s">
        <v>28</v>
      </c>
      <c r="G521" s="34" t="s">
        <v>283</v>
      </c>
      <c r="H521" s="16" t="s">
        <v>670</v>
      </c>
      <c r="I521" s="81"/>
      <c r="J521" s="90" t="s">
        <v>91</v>
      </c>
      <c r="K521" s="87" t="s">
        <v>91</v>
      </c>
    </row>
    <row r="522" spans="1:11">
      <c r="A522" s="33">
        <v>520</v>
      </c>
      <c r="B522" s="16" t="s">
        <v>658</v>
      </c>
      <c r="C522" s="87" t="s">
        <v>654</v>
      </c>
      <c r="D522" t="str">
        <f>"9400201"</f>
        <v>9400201</v>
      </c>
      <c r="E522" s="87" t="s">
        <v>468</v>
      </c>
      <c r="F522" s="16" t="s">
        <v>28</v>
      </c>
      <c r="G522" s="34" t="s">
        <v>283</v>
      </c>
      <c r="H522" s="16" t="s">
        <v>679</v>
      </c>
      <c r="I522" s="88">
        <v>1989</v>
      </c>
      <c r="J522" s="37" t="s">
        <v>139</v>
      </c>
      <c r="K522" s="87" t="s">
        <v>91</v>
      </c>
    </row>
    <row r="523" spans="1:11">
      <c r="A523" s="33">
        <v>521</v>
      </c>
      <c r="B523" s="16" t="s">
        <v>658</v>
      </c>
      <c r="C523" s="87" t="s">
        <v>655</v>
      </c>
      <c r="D523" s="142">
        <v>9400076</v>
      </c>
      <c r="E523" s="87" t="s">
        <v>468</v>
      </c>
      <c r="F523" s="16" t="s">
        <v>28</v>
      </c>
      <c r="G523" s="34" t="s">
        <v>283</v>
      </c>
      <c r="H523" s="16" t="s">
        <v>680</v>
      </c>
      <c r="I523" s="81"/>
      <c r="J523" s="90" t="s">
        <v>91</v>
      </c>
      <c r="K523" s="87" t="s">
        <v>91</v>
      </c>
    </row>
    <row r="524" spans="1:11">
      <c r="A524" s="33">
        <v>522</v>
      </c>
      <c r="B524" s="16" t="s">
        <v>658</v>
      </c>
      <c r="C524" s="87" t="s">
        <v>613</v>
      </c>
      <c r="D524" s="95"/>
      <c r="E524" s="87" t="s">
        <v>468</v>
      </c>
      <c r="F524" s="16" t="s">
        <v>28</v>
      </c>
      <c r="G524" s="34" t="s">
        <v>284</v>
      </c>
      <c r="H524" s="16" t="s">
        <v>674</v>
      </c>
      <c r="I524" s="88">
        <v>1984</v>
      </c>
      <c r="J524" s="89"/>
      <c r="K524" s="87" t="s">
        <v>91</v>
      </c>
    </row>
    <row r="525" spans="1:11">
      <c r="A525" s="33">
        <v>523</v>
      </c>
      <c r="B525" s="16" t="s">
        <v>658</v>
      </c>
      <c r="C525" s="87" t="s">
        <v>620</v>
      </c>
      <c r="D525" t="str">
        <f>"9400142"</f>
        <v>9400142</v>
      </c>
      <c r="E525" s="87" t="s">
        <v>468</v>
      </c>
      <c r="F525" s="16" t="s">
        <v>28</v>
      </c>
      <c r="G525" s="34" t="s">
        <v>284</v>
      </c>
      <c r="H525" s="16" t="s">
        <v>287</v>
      </c>
      <c r="I525" s="88">
        <v>1993</v>
      </c>
      <c r="J525" s="37" t="s">
        <v>139</v>
      </c>
      <c r="K525" s="87" t="s">
        <v>91</v>
      </c>
    </row>
    <row r="526" spans="1:11">
      <c r="A526" s="33">
        <v>524</v>
      </c>
      <c r="B526" s="16" t="s">
        <v>658</v>
      </c>
      <c r="C526" s="87" t="s">
        <v>621</v>
      </c>
      <c r="D526" t="str">
        <f>"9400095"</f>
        <v>9400095</v>
      </c>
      <c r="E526" s="87" t="s">
        <v>468</v>
      </c>
      <c r="F526" s="16" t="s">
        <v>28</v>
      </c>
      <c r="G526" s="34" t="s">
        <v>284</v>
      </c>
      <c r="H526" s="16" t="s">
        <v>284</v>
      </c>
      <c r="I526" s="88">
        <v>1969</v>
      </c>
      <c r="J526" s="37" t="s">
        <v>91</v>
      </c>
      <c r="K526" s="87" t="s">
        <v>91</v>
      </c>
    </row>
    <row r="527" spans="1:11">
      <c r="A527" s="33">
        <v>525</v>
      </c>
      <c r="B527" s="16" t="s">
        <v>658</v>
      </c>
      <c r="C527" s="87" t="s">
        <v>625</v>
      </c>
      <c r="D527" t="str">
        <f>"9400208"</f>
        <v>9400208</v>
      </c>
      <c r="E527" s="87" t="s">
        <v>468</v>
      </c>
      <c r="F527" s="16" t="s">
        <v>28</v>
      </c>
      <c r="G527" s="34" t="s">
        <v>284</v>
      </c>
      <c r="H527" s="16" t="s">
        <v>287</v>
      </c>
      <c r="I527" s="88">
        <v>2000</v>
      </c>
      <c r="J527" s="37" t="s">
        <v>139</v>
      </c>
      <c r="K527" s="87" t="s">
        <v>91</v>
      </c>
    </row>
    <row r="528" spans="1:11">
      <c r="A528" s="33">
        <v>526</v>
      </c>
      <c r="B528" s="16" t="s">
        <v>658</v>
      </c>
      <c r="C528" s="87" t="s">
        <v>626</v>
      </c>
      <c r="D528" t="str">
        <f>"9520612"</f>
        <v>9520612</v>
      </c>
      <c r="E528" s="87" t="s">
        <v>468</v>
      </c>
      <c r="F528" s="16" t="s">
        <v>28</v>
      </c>
      <c r="G528" s="34" t="s">
        <v>284</v>
      </c>
      <c r="H528" s="16" t="s">
        <v>284</v>
      </c>
      <c r="I528" s="88">
        <v>2006</v>
      </c>
      <c r="J528" s="37" t="s">
        <v>139</v>
      </c>
      <c r="K528" s="87" t="s">
        <v>91</v>
      </c>
    </row>
    <row r="529" spans="1:11">
      <c r="A529" s="33">
        <v>527</v>
      </c>
      <c r="B529" s="16" t="s">
        <v>658</v>
      </c>
      <c r="C529" s="87" t="s">
        <v>639</v>
      </c>
      <c r="D529" t="str">
        <f>"9400108"</f>
        <v>9400108</v>
      </c>
      <c r="E529" s="87" t="s">
        <v>468</v>
      </c>
      <c r="F529" s="16" t="s">
        <v>28</v>
      </c>
      <c r="G529" s="34" t="s">
        <v>284</v>
      </c>
      <c r="H529" s="16" t="s">
        <v>660</v>
      </c>
      <c r="I529" s="88">
        <v>1990</v>
      </c>
      <c r="J529" s="37" t="s">
        <v>139</v>
      </c>
      <c r="K529" s="87" t="s">
        <v>91</v>
      </c>
    </row>
    <row r="530" spans="1:11">
      <c r="A530" s="33">
        <v>528</v>
      </c>
      <c r="B530" s="16" t="s">
        <v>658</v>
      </c>
      <c r="C530" s="87" t="s">
        <v>641</v>
      </c>
      <c r="D530" t="str">
        <f>"9400113"</f>
        <v>9400113</v>
      </c>
      <c r="E530" s="87" t="s">
        <v>468</v>
      </c>
      <c r="F530" s="16" t="s">
        <v>28</v>
      </c>
      <c r="G530" s="34" t="s">
        <v>284</v>
      </c>
      <c r="H530" s="16" t="s">
        <v>662</v>
      </c>
      <c r="I530" s="88">
        <v>1980</v>
      </c>
      <c r="J530" s="37" t="s">
        <v>91</v>
      </c>
      <c r="K530" s="87" t="s">
        <v>91</v>
      </c>
    </row>
    <row r="531" spans="1:11">
      <c r="A531" s="33">
        <v>529</v>
      </c>
      <c r="B531" s="16" t="s">
        <v>658</v>
      </c>
      <c r="C531" s="87" t="s">
        <v>642</v>
      </c>
      <c r="D531" t="str">
        <f>"9400127"</f>
        <v>9400127</v>
      </c>
      <c r="E531" s="87" t="s">
        <v>468</v>
      </c>
      <c r="F531" s="16" t="s">
        <v>28</v>
      </c>
      <c r="G531" s="34" t="s">
        <v>284</v>
      </c>
      <c r="H531" s="16" t="s">
        <v>663</v>
      </c>
      <c r="I531" s="88">
        <v>1983</v>
      </c>
      <c r="J531" s="37" t="s">
        <v>91</v>
      </c>
      <c r="K531" s="87" t="s">
        <v>91</v>
      </c>
    </row>
    <row r="532" spans="1:11">
      <c r="A532" s="33">
        <v>530</v>
      </c>
      <c r="B532" s="16" t="s">
        <v>658</v>
      </c>
      <c r="C532" s="87" t="s">
        <v>646</v>
      </c>
      <c r="D532" t="str">
        <f>"9400163"</f>
        <v>9400163</v>
      </c>
      <c r="E532" s="87" t="s">
        <v>468</v>
      </c>
      <c r="F532" s="16" t="s">
        <v>28</v>
      </c>
      <c r="G532" s="34" t="s">
        <v>284</v>
      </c>
      <c r="H532" s="16" t="s">
        <v>665</v>
      </c>
      <c r="I532" s="88">
        <v>1985</v>
      </c>
      <c r="J532" s="37" t="s">
        <v>91</v>
      </c>
      <c r="K532" s="87" t="s">
        <v>91</v>
      </c>
    </row>
    <row r="533" spans="1:11">
      <c r="A533" s="33">
        <v>531</v>
      </c>
      <c r="B533" s="16" t="s">
        <v>658</v>
      </c>
      <c r="C533" s="87" t="s">
        <v>614</v>
      </c>
      <c r="D533" t="str">
        <f>"9400233"</f>
        <v>9400233</v>
      </c>
      <c r="E533" s="87" t="s">
        <v>468</v>
      </c>
      <c r="F533" s="16" t="s">
        <v>28</v>
      </c>
      <c r="G533" s="34" t="s">
        <v>28</v>
      </c>
      <c r="H533" s="16" t="s">
        <v>28</v>
      </c>
      <c r="I533" s="88">
        <v>2005</v>
      </c>
      <c r="J533" s="37" t="s">
        <v>91</v>
      </c>
      <c r="K533" s="87" t="s">
        <v>91</v>
      </c>
    </row>
    <row r="534" spans="1:11">
      <c r="A534" s="33">
        <v>532</v>
      </c>
      <c r="B534" s="16" t="s">
        <v>658</v>
      </c>
      <c r="C534" s="87" t="s">
        <v>615</v>
      </c>
      <c r="D534" t="str">
        <f>"9400195"</f>
        <v>9400195</v>
      </c>
      <c r="E534" s="87" t="s">
        <v>468</v>
      </c>
      <c r="F534" s="16" t="s">
        <v>28</v>
      </c>
      <c r="G534" s="34" t="s">
        <v>28</v>
      </c>
      <c r="H534" s="16" t="s">
        <v>28</v>
      </c>
      <c r="I534" s="88">
        <v>1950</v>
      </c>
      <c r="J534" s="37" t="s">
        <v>91</v>
      </c>
      <c r="K534" s="87" t="s">
        <v>91</v>
      </c>
    </row>
    <row r="535" spans="1:11">
      <c r="A535" s="33">
        <v>533</v>
      </c>
      <c r="B535" s="16" t="s">
        <v>658</v>
      </c>
      <c r="C535" s="87" t="s">
        <v>616</v>
      </c>
      <c r="D535" t="str">
        <f>"9400098"</f>
        <v>9400098</v>
      </c>
      <c r="E535" s="87" t="s">
        <v>468</v>
      </c>
      <c r="F535" s="16" t="s">
        <v>28</v>
      </c>
      <c r="G535" s="34" t="s">
        <v>28</v>
      </c>
      <c r="H535" s="16" t="s">
        <v>28</v>
      </c>
      <c r="I535" s="88">
        <v>2007</v>
      </c>
      <c r="J535" s="37" t="s">
        <v>139</v>
      </c>
      <c r="K535" s="87" t="s">
        <v>91</v>
      </c>
    </row>
    <row r="536" spans="1:11">
      <c r="A536" s="33">
        <v>534</v>
      </c>
      <c r="B536" s="16" t="s">
        <v>658</v>
      </c>
      <c r="C536" s="87" t="s">
        <v>617</v>
      </c>
      <c r="D536" t="str">
        <f>"9400223"</f>
        <v>9400223</v>
      </c>
      <c r="E536" s="87" t="s">
        <v>468</v>
      </c>
      <c r="F536" s="16" t="s">
        <v>28</v>
      </c>
      <c r="G536" s="34" t="s">
        <v>28</v>
      </c>
      <c r="H536" s="16" t="s">
        <v>28</v>
      </c>
      <c r="I536" s="88">
        <v>1992</v>
      </c>
      <c r="J536" s="37" t="s">
        <v>139</v>
      </c>
      <c r="K536" s="87" t="s">
        <v>91</v>
      </c>
    </row>
    <row r="537" spans="1:11">
      <c r="A537" s="33">
        <v>535</v>
      </c>
      <c r="B537" s="16" t="s">
        <v>658</v>
      </c>
      <c r="C537" s="87" t="s">
        <v>618</v>
      </c>
      <c r="D537" t="str">
        <f>"9520894"</f>
        <v>9520894</v>
      </c>
      <c r="E537" s="87" t="s">
        <v>468</v>
      </c>
      <c r="F537" s="16" t="s">
        <v>28</v>
      </c>
      <c r="G537" s="34" t="s">
        <v>28</v>
      </c>
      <c r="H537" s="16" t="s">
        <v>28</v>
      </c>
      <c r="I537" s="88">
        <v>1992</v>
      </c>
      <c r="J537" s="37" t="s">
        <v>139</v>
      </c>
      <c r="K537" s="87" t="s">
        <v>91</v>
      </c>
    </row>
    <row r="538" spans="1:11">
      <c r="A538" s="33">
        <v>536</v>
      </c>
      <c r="B538" s="16" t="s">
        <v>658</v>
      </c>
      <c r="C538" s="87" t="s">
        <v>622</v>
      </c>
      <c r="D538" t="str">
        <f>"9400008"</f>
        <v>9400008</v>
      </c>
      <c r="E538" s="87" t="s">
        <v>468</v>
      </c>
      <c r="F538" s="16" t="s">
        <v>28</v>
      </c>
      <c r="G538" s="34" t="s">
        <v>28</v>
      </c>
      <c r="H538" s="16" t="s">
        <v>28</v>
      </c>
      <c r="I538" s="88">
        <v>1992</v>
      </c>
      <c r="J538" s="37" t="s">
        <v>139</v>
      </c>
      <c r="K538" s="87" t="s">
        <v>91</v>
      </c>
    </row>
    <row r="539" spans="1:11">
      <c r="A539" s="33">
        <v>537</v>
      </c>
      <c r="B539" s="16" t="s">
        <v>658</v>
      </c>
      <c r="C539" s="87" t="s">
        <v>627</v>
      </c>
      <c r="D539" t="str">
        <f>"9400103"</f>
        <v>9400103</v>
      </c>
      <c r="E539" s="87" t="s">
        <v>468</v>
      </c>
      <c r="F539" s="16" t="s">
        <v>28</v>
      </c>
      <c r="G539" s="34" t="s">
        <v>28</v>
      </c>
      <c r="H539" s="16" t="s">
        <v>28</v>
      </c>
      <c r="I539" s="88">
        <v>2004</v>
      </c>
      <c r="J539" s="37" t="s">
        <v>139</v>
      </c>
      <c r="K539" s="87" t="s">
        <v>91</v>
      </c>
    </row>
    <row r="540" spans="1:11">
      <c r="A540" s="33">
        <v>538</v>
      </c>
      <c r="B540" s="16" t="s">
        <v>658</v>
      </c>
      <c r="C540" s="87" t="s">
        <v>630</v>
      </c>
      <c r="D540" t="str">
        <f>"9400194"</f>
        <v>9400194</v>
      </c>
      <c r="E540" s="87" t="s">
        <v>468</v>
      </c>
      <c r="F540" s="16" t="s">
        <v>28</v>
      </c>
      <c r="G540" s="34" t="s">
        <v>28</v>
      </c>
      <c r="H540" s="16" t="s">
        <v>28</v>
      </c>
      <c r="I540" s="88">
        <v>1972</v>
      </c>
      <c r="J540" s="37" t="s">
        <v>91</v>
      </c>
      <c r="K540" s="87" t="s">
        <v>91</v>
      </c>
    </row>
    <row r="541" spans="1:11">
      <c r="A541" s="33">
        <v>539</v>
      </c>
      <c r="B541" s="16" t="s">
        <v>658</v>
      </c>
      <c r="C541" s="87" t="s">
        <v>632</v>
      </c>
      <c r="D541" t="str">
        <f>"9400207"</f>
        <v>9400207</v>
      </c>
      <c r="E541" s="87" t="s">
        <v>468</v>
      </c>
      <c r="F541" s="16" t="s">
        <v>28</v>
      </c>
      <c r="G541" s="34" t="s">
        <v>28</v>
      </c>
      <c r="H541" s="16" t="s">
        <v>28</v>
      </c>
      <c r="I541" s="88"/>
      <c r="J541" s="89" t="s">
        <v>91</v>
      </c>
      <c r="K541" s="87" t="s">
        <v>139</v>
      </c>
    </row>
    <row r="542" spans="1:11">
      <c r="A542" s="33">
        <v>540</v>
      </c>
      <c r="B542" s="16" t="s">
        <v>658</v>
      </c>
      <c r="C542" s="87" t="s">
        <v>633</v>
      </c>
      <c r="D542" t="str">
        <f>"9400211"</f>
        <v>9400211</v>
      </c>
      <c r="E542" s="87" t="s">
        <v>468</v>
      </c>
      <c r="F542" s="16" t="s">
        <v>28</v>
      </c>
      <c r="G542" s="34" t="s">
        <v>28</v>
      </c>
      <c r="H542" s="16" t="s">
        <v>28</v>
      </c>
      <c r="I542" s="88">
        <v>1997</v>
      </c>
      <c r="J542" s="37" t="s">
        <v>139</v>
      </c>
      <c r="K542" s="87" t="s">
        <v>139</v>
      </c>
    </row>
    <row r="543" spans="1:11">
      <c r="A543" s="33">
        <v>541</v>
      </c>
      <c r="B543" s="16" t="s">
        <v>658</v>
      </c>
      <c r="C543" s="87" t="s">
        <v>634</v>
      </c>
      <c r="D543" t="str">
        <f>"9400212"</f>
        <v>9400212</v>
      </c>
      <c r="E543" s="87" t="s">
        <v>468</v>
      </c>
      <c r="F543" s="16" t="s">
        <v>28</v>
      </c>
      <c r="G543" s="34" t="s">
        <v>28</v>
      </c>
      <c r="H543" s="16" t="s">
        <v>28</v>
      </c>
      <c r="I543" s="88">
        <v>2009</v>
      </c>
      <c r="J543" s="37" t="s">
        <v>91</v>
      </c>
      <c r="K543" s="87" t="s">
        <v>139</v>
      </c>
    </row>
    <row r="544" spans="1:11">
      <c r="A544" s="33">
        <v>542</v>
      </c>
      <c r="B544" s="16" t="s">
        <v>658</v>
      </c>
      <c r="C544" s="87" t="s">
        <v>635</v>
      </c>
      <c r="D544" t="str">
        <f>"9400213"</f>
        <v>9400213</v>
      </c>
      <c r="E544" s="87" t="s">
        <v>468</v>
      </c>
      <c r="F544" s="16" t="s">
        <v>28</v>
      </c>
      <c r="G544" s="34" t="s">
        <v>28</v>
      </c>
      <c r="H544" s="16" t="s">
        <v>28</v>
      </c>
      <c r="I544" s="88">
        <v>1990</v>
      </c>
      <c r="J544" s="37" t="s">
        <v>91</v>
      </c>
      <c r="K544" s="87" t="s">
        <v>139</v>
      </c>
    </row>
    <row r="545" spans="1:11">
      <c r="A545" s="33">
        <v>543</v>
      </c>
      <c r="B545" s="16" t="s">
        <v>658</v>
      </c>
      <c r="C545" s="87" t="s">
        <v>636</v>
      </c>
      <c r="D545" t="str">
        <f>"9400228"</f>
        <v>9400228</v>
      </c>
      <c r="E545" s="87" t="s">
        <v>468</v>
      </c>
      <c r="F545" s="16" t="s">
        <v>28</v>
      </c>
      <c r="G545" s="34" t="s">
        <v>28</v>
      </c>
      <c r="H545" s="16" t="s">
        <v>28</v>
      </c>
      <c r="I545" s="88">
        <v>1981</v>
      </c>
      <c r="J545" s="37" t="s">
        <v>139</v>
      </c>
      <c r="K545" s="87" t="s">
        <v>91</v>
      </c>
    </row>
    <row r="546" spans="1:11">
      <c r="A546" s="33">
        <v>544</v>
      </c>
      <c r="B546" s="16" t="s">
        <v>658</v>
      </c>
      <c r="C546" s="87" t="s">
        <v>637</v>
      </c>
      <c r="D546" t="str">
        <f>"9400058"</f>
        <v>9400058</v>
      </c>
      <c r="E546" s="87" t="s">
        <v>468</v>
      </c>
      <c r="F546" s="16" t="s">
        <v>28</v>
      </c>
      <c r="G546" s="34" t="s">
        <v>28</v>
      </c>
      <c r="H546" s="16" t="s">
        <v>675</v>
      </c>
      <c r="I546" s="88">
        <v>1984</v>
      </c>
      <c r="J546" s="37" t="s">
        <v>91</v>
      </c>
      <c r="K546" s="87" t="s">
        <v>91</v>
      </c>
    </row>
    <row r="547" spans="1:11">
      <c r="A547" s="33">
        <v>545</v>
      </c>
      <c r="B547" s="16" t="s">
        <v>658</v>
      </c>
      <c r="C547" s="87" t="s">
        <v>643</v>
      </c>
      <c r="D547" t="str">
        <f>"9400140"</f>
        <v>9400140</v>
      </c>
      <c r="E547" s="87" t="s">
        <v>468</v>
      </c>
      <c r="F547" s="16" t="s">
        <v>28</v>
      </c>
      <c r="G547" s="34" t="s">
        <v>28</v>
      </c>
      <c r="H547" s="16" t="s">
        <v>664</v>
      </c>
      <c r="I547" s="88">
        <v>1996</v>
      </c>
      <c r="J547" s="37" t="s">
        <v>139</v>
      </c>
      <c r="K547" s="87" t="s">
        <v>91</v>
      </c>
    </row>
    <row r="548" spans="1:11">
      <c r="A548" s="33">
        <v>546</v>
      </c>
      <c r="B548" s="16" t="s">
        <v>658</v>
      </c>
      <c r="C548" s="87" t="s">
        <v>644</v>
      </c>
      <c r="D548" t="str">
        <f>"9400222"</f>
        <v>9400222</v>
      </c>
      <c r="E548" s="87" t="s">
        <v>468</v>
      </c>
      <c r="F548" s="16" t="s">
        <v>28</v>
      </c>
      <c r="G548" s="34" t="s">
        <v>28</v>
      </c>
      <c r="H548" s="16" t="s">
        <v>677</v>
      </c>
      <c r="I548" s="88">
        <v>1950</v>
      </c>
      <c r="J548" s="37" t="s">
        <v>91</v>
      </c>
      <c r="K548" s="87" t="s">
        <v>91</v>
      </c>
    </row>
    <row r="549" spans="1:11">
      <c r="A549" s="33">
        <v>547</v>
      </c>
      <c r="B549" s="16" t="s">
        <v>658</v>
      </c>
      <c r="C549" s="87" t="s">
        <v>645</v>
      </c>
      <c r="D549" t="str">
        <f>"9400047"</f>
        <v>9400047</v>
      </c>
      <c r="E549" s="87" t="s">
        <v>468</v>
      </c>
      <c r="F549" s="16" t="s">
        <v>28</v>
      </c>
      <c r="G549" s="34" t="s">
        <v>28</v>
      </c>
      <c r="H549" s="16" t="s">
        <v>288</v>
      </c>
      <c r="I549" s="88">
        <v>1985</v>
      </c>
      <c r="J549" s="37" t="s">
        <v>139</v>
      </c>
      <c r="K549" s="87" t="s">
        <v>91</v>
      </c>
    </row>
    <row r="550" spans="1:11">
      <c r="A550" s="33">
        <v>548</v>
      </c>
      <c r="B550" s="16" t="s">
        <v>658</v>
      </c>
      <c r="C550" s="87" t="s">
        <v>647</v>
      </c>
      <c r="D550" t="str">
        <f>"9400209"</f>
        <v>9400209</v>
      </c>
      <c r="E550" s="87" t="s">
        <v>468</v>
      </c>
      <c r="F550" s="16" t="s">
        <v>28</v>
      </c>
      <c r="G550" s="34" t="s">
        <v>28</v>
      </c>
      <c r="H550" s="16" t="s">
        <v>666</v>
      </c>
      <c r="I550" s="88">
        <v>1994</v>
      </c>
      <c r="J550" s="37" t="s">
        <v>139</v>
      </c>
      <c r="K550" s="87" t="s">
        <v>91</v>
      </c>
    </row>
    <row r="551" spans="1:11">
      <c r="A551" s="33">
        <v>549</v>
      </c>
      <c r="B551" s="16" t="s">
        <v>658</v>
      </c>
      <c r="C551" s="87" t="s">
        <v>648</v>
      </c>
      <c r="D551" t="str">
        <f>"9400205"</f>
        <v>9400205</v>
      </c>
      <c r="E551" s="87" t="s">
        <v>468</v>
      </c>
      <c r="F551" s="16" t="s">
        <v>28</v>
      </c>
      <c r="G551" s="34" t="s">
        <v>28</v>
      </c>
      <c r="H551" s="16" t="s">
        <v>667</v>
      </c>
      <c r="I551" s="88">
        <v>1996</v>
      </c>
      <c r="J551" s="37" t="s">
        <v>139</v>
      </c>
      <c r="K551" s="87" t="s">
        <v>91</v>
      </c>
    </row>
    <row r="552" spans="1:11">
      <c r="A552" s="33">
        <v>550</v>
      </c>
      <c r="B552" s="16" t="s">
        <v>658</v>
      </c>
      <c r="C552" s="87" t="s">
        <v>650</v>
      </c>
      <c r="D552" t="str">
        <f>"9400057"</f>
        <v>9400057</v>
      </c>
      <c r="E552" s="87" t="s">
        <v>468</v>
      </c>
      <c r="F552" s="16" t="s">
        <v>28</v>
      </c>
      <c r="G552" s="34" t="s">
        <v>28</v>
      </c>
      <c r="H552" s="16" t="s">
        <v>289</v>
      </c>
      <c r="I552" s="88">
        <v>1993</v>
      </c>
      <c r="J552" s="37" t="s">
        <v>139</v>
      </c>
      <c r="K552" s="87" t="s">
        <v>91</v>
      </c>
    </row>
    <row r="553" spans="1:11">
      <c r="A553" s="33">
        <v>551</v>
      </c>
      <c r="B553" s="16" t="s">
        <v>658</v>
      </c>
      <c r="C553" s="87" t="s">
        <v>651</v>
      </c>
      <c r="D553" t="str">
        <f>"9400060"</f>
        <v>9400060</v>
      </c>
      <c r="E553" s="87" t="s">
        <v>468</v>
      </c>
      <c r="F553" s="16" t="s">
        <v>28</v>
      </c>
      <c r="G553" s="34" t="s">
        <v>28</v>
      </c>
      <c r="H553" s="16" t="s">
        <v>669</v>
      </c>
      <c r="I553" s="88">
        <v>1996</v>
      </c>
      <c r="J553" s="37" t="s">
        <v>139</v>
      </c>
      <c r="K553" s="87" t="s">
        <v>91</v>
      </c>
    </row>
    <row r="554" spans="1:11">
      <c r="A554" s="33">
        <v>552</v>
      </c>
      <c r="B554" s="16" t="s">
        <v>658</v>
      </c>
      <c r="C554" s="87" t="s">
        <v>653</v>
      </c>
      <c r="D554" t="str">
        <f>"9400086"</f>
        <v>9400086</v>
      </c>
      <c r="E554" s="87" t="s">
        <v>468</v>
      </c>
      <c r="F554" s="16" t="s">
        <v>28</v>
      </c>
      <c r="G554" s="34" t="s">
        <v>28</v>
      </c>
      <c r="H554" s="16" t="s">
        <v>678</v>
      </c>
      <c r="I554" s="81"/>
      <c r="J554" s="90" t="s">
        <v>91</v>
      </c>
      <c r="K554" s="87" t="s">
        <v>91</v>
      </c>
    </row>
    <row r="555" spans="1:11">
      <c r="A555" s="33">
        <v>553</v>
      </c>
      <c r="B555" s="16" t="s">
        <v>658</v>
      </c>
      <c r="C555" s="87" t="s">
        <v>656</v>
      </c>
      <c r="D555" t="str">
        <f>"9400189"</f>
        <v>9400189</v>
      </c>
      <c r="E555" s="87" t="s">
        <v>468</v>
      </c>
      <c r="F555" s="16" t="s">
        <v>28</v>
      </c>
      <c r="G555" s="34" t="s">
        <v>28</v>
      </c>
      <c r="H555" s="16" t="s">
        <v>672</v>
      </c>
      <c r="I555" s="88">
        <v>1992</v>
      </c>
      <c r="J555" s="37" t="s">
        <v>91</v>
      </c>
      <c r="K555" s="87" t="s">
        <v>91</v>
      </c>
    </row>
  </sheetData>
  <sortState ref="A3:K555">
    <sortCondition ref="B3:B555"/>
    <sortCondition ref="E3:E555"/>
    <sortCondition ref="G3:G555"/>
  </sortState>
  <mergeCells count="6">
    <mergeCell ref="A1:A2"/>
    <mergeCell ref="H1:H2"/>
    <mergeCell ref="G1:G2"/>
    <mergeCell ref="F1:F2"/>
    <mergeCell ref="E1:E2"/>
    <mergeCell ref="C1:C2"/>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3">
        <x14:dataValidation type="list" allowBlank="1" showInputMessage="1" showErrorMessage="1" xr:uid="{A41CCAFA-7233-4093-BB77-8C8671B82040}">
          <x14:formula1>
            <xm:f>ΔΕΔΟΜΕΝΑ!$B$4:$B$7</xm:f>
          </x14:formula1>
          <xm:sqref>F3:F36</xm:sqref>
        </x14:dataValidation>
        <x14:dataValidation type="list" allowBlank="1" showInputMessage="1" showErrorMessage="1" xr:uid="{735FBD9D-D613-4521-A03D-D3F63F0DD3DD}">
          <x14:formula1>
            <xm:f>ΔΕΔΟΜΕΝΑ!$A$4:$A$7</xm:f>
          </x14:formula1>
          <xm:sqref>E3:E19 E37:E50</xm:sqref>
        </x14:dataValidation>
        <x14:dataValidation type="list" allowBlank="1" showInputMessage="1" showErrorMessage="1" xr:uid="{EBB71BB5-6720-4977-9050-14605CC5A1CE}">
          <x14:formula1>
            <xm:f>'C:\Users\Oikon\AppData\Local\Temp\pid-10040\[Χαρτογράφηση_ΕΚΠΑΙΔΕΥΣΗΣ_ΗΠΕΙΡΟΣ.xlsx]ΔΕΔΟΜΕΝΑ'!#REF!</xm:f>
          </x14:formula1>
          <xm:sqref>E149:E308 F149:F315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F156D-F66F-423C-9EA7-674890823A25}">
  <dimension ref="A1:AL570"/>
  <sheetViews>
    <sheetView topLeftCell="A523" workbookViewId="0">
      <selection activeCell="A3" sqref="A3:A555"/>
    </sheetView>
  </sheetViews>
  <sheetFormatPr defaultColWidth="9.125" defaultRowHeight="15"/>
  <cols>
    <col min="1" max="1" width="7" style="1" customWidth="1"/>
    <col min="2" max="2" width="24.125" style="1" customWidth="1"/>
    <col min="3" max="3" width="41.375" style="1" customWidth="1"/>
    <col min="4" max="4" width="17.25" style="1" customWidth="1"/>
    <col min="5" max="5" width="19.625" style="1" customWidth="1"/>
    <col min="6" max="6" width="15.125" style="1" customWidth="1"/>
    <col min="7" max="7" width="16.25" style="1" customWidth="1"/>
    <col min="8" max="8" width="15" style="1" customWidth="1"/>
    <col min="9" max="9" width="23.25" style="1" bestFit="1" customWidth="1"/>
    <col min="10" max="10" width="23.25" style="1" customWidth="1"/>
    <col min="11" max="12" width="18.125" style="1" customWidth="1"/>
    <col min="13" max="13" width="19" style="1" customWidth="1"/>
    <col min="14" max="14" width="18.875" style="1" customWidth="1"/>
    <col min="15" max="15" width="21.625" style="1" customWidth="1"/>
    <col min="16" max="16" width="20.125" style="1" customWidth="1"/>
    <col min="17" max="20" width="18.25" style="1" customWidth="1"/>
    <col min="21" max="21" width="16.25" style="1" customWidth="1"/>
    <col min="22" max="22" width="23.625" style="1" customWidth="1"/>
    <col min="23" max="24" width="17" style="1" customWidth="1"/>
    <col min="25" max="26" width="19.25" style="1" customWidth="1"/>
    <col min="27" max="27" width="14.625" style="1" customWidth="1"/>
    <col min="28" max="28" width="8.125" style="1" customWidth="1"/>
    <col min="29" max="30" width="37.375" style="1" customWidth="1"/>
    <col min="31" max="32" width="12.125" style="1" customWidth="1"/>
    <col min="33" max="33" width="22.5" style="1" customWidth="1"/>
    <col min="34" max="34" width="34.75" style="1" customWidth="1"/>
    <col min="35" max="36" width="71.25" style="1" customWidth="1"/>
    <col min="37" max="37" width="12" style="1" customWidth="1"/>
    <col min="38" max="38" width="20" style="1" customWidth="1"/>
    <col min="39" max="16384" width="9.125" style="1"/>
  </cols>
  <sheetData>
    <row r="1" spans="1:38" s="6" customFormat="1" ht="54.75" customHeight="1">
      <c r="A1" s="156" t="s">
        <v>0</v>
      </c>
      <c r="B1" s="86" t="s">
        <v>100</v>
      </c>
      <c r="C1" s="158" t="s">
        <v>4</v>
      </c>
      <c r="D1" s="84" t="s">
        <v>829</v>
      </c>
      <c r="E1" s="162" t="s">
        <v>2</v>
      </c>
      <c r="F1" s="162" t="s">
        <v>3</v>
      </c>
      <c r="G1" s="158" t="s">
        <v>1</v>
      </c>
      <c r="H1" s="160" t="s">
        <v>17</v>
      </c>
      <c r="I1" s="167" t="s">
        <v>42</v>
      </c>
      <c r="J1" s="168"/>
      <c r="K1" s="168"/>
      <c r="L1" s="168"/>
      <c r="M1" s="168"/>
      <c r="N1" s="168"/>
      <c r="O1" s="168"/>
      <c r="P1" s="168"/>
      <c r="Q1" s="168"/>
      <c r="R1" s="168"/>
      <c r="S1" s="168"/>
      <c r="T1" s="168"/>
      <c r="U1" s="168"/>
      <c r="V1" s="168"/>
      <c r="W1" s="168"/>
      <c r="X1" s="168"/>
      <c r="Y1" s="168"/>
      <c r="Z1" s="168"/>
      <c r="AA1" s="168"/>
      <c r="AB1" s="168"/>
      <c r="AC1" s="168"/>
      <c r="AD1" s="168"/>
      <c r="AE1" s="168"/>
      <c r="AF1" s="168"/>
      <c r="AG1" s="168"/>
      <c r="AH1" s="168"/>
      <c r="AI1" s="169"/>
      <c r="AJ1" s="114"/>
      <c r="AK1" s="113" t="s">
        <v>906</v>
      </c>
      <c r="AL1" s="115"/>
    </row>
    <row r="2" spans="1:38" s="6" customFormat="1" ht="62.25" customHeight="1">
      <c r="A2" s="157"/>
      <c r="B2" s="30"/>
      <c r="C2" s="159"/>
      <c r="D2" s="85"/>
      <c r="E2" s="163"/>
      <c r="F2" s="163"/>
      <c r="G2" s="159"/>
      <c r="H2" s="161"/>
      <c r="I2" s="15" t="s">
        <v>908</v>
      </c>
      <c r="J2" s="15" t="s">
        <v>909</v>
      </c>
      <c r="K2" s="15" t="s">
        <v>910</v>
      </c>
      <c r="L2" s="15" t="s">
        <v>911</v>
      </c>
      <c r="M2" s="15" t="s">
        <v>912</v>
      </c>
      <c r="N2" s="15" t="s">
        <v>913</v>
      </c>
      <c r="O2" s="15" t="s">
        <v>914</v>
      </c>
      <c r="P2" s="15" t="s">
        <v>915</v>
      </c>
      <c r="Q2" s="15" t="s">
        <v>916</v>
      </c>
      <c r="R2" s="15" t="s">
        <v>917</v>
      </c>
      <c r="S2" s="15" t="s">
        <v>918</v>
      </c>
      <c r="T2" s="15" t="s">
        <v>919</v>
      </c>
      <c r="U2" s="15" t="s">
        <v>920</v>
      </c>
      <c r="V2" s="15" t="s">
        <v>921</v>
      </c>
      <c r="W2" s="15" t="s">
        <v>922</v>
      </c>
      <c r="X2" s="15" t="s">
        <v>923</v>
      </c>
      <c r="Y2" s="15" t="s">
        <v>924</v>
      </c>
      <c r="Z2" s="15" t="s">
        <v>925</v>
      </c>
      <c r="AA2" s="15" t="s">
        <v>926</v>
      </c>
      <c r="AB2" s="15" t="s">
        <v>927</v>
      </c>
      <c r="AC2" s="15" t="s">
        <v>928</v>
      </c>
      <c r="AD2" s="15" t="s">
        <v>929</v>
      </c>
      <c r="AE2" s="15" t="s">
        <v>930</v>
      </c>
      <c r="AF2" s="15" t="s">
        <v>931</v>
      </c>
      <c r="AG2" s="15" t="s">
        <v>932</v>
      </c>
      <c r="AH2" s="15" t="s">
        <v>933</v>
      </c>
      <c r="AI2" s="15" t="s">
        <v>934</v>
      </c>
      <c r="AJ2" s="15" t="s">
        <v>935</v>
      </c>
      <c r="AK2" s="100" t="s">
        <v>98</v>
      </c>
    </row>
    <row r="3" spans="1:38" s="125" customFormat="1" ht="20.25" customHeight="1">
      <c r="A3" s="120">
        <v>1</v>
      </c>
      <c r="B3" s="120" t="s">
        <v>101</v>
      </c>
      <c r="C3" s="121" t="s">
        <v>60</v>
      </c>
      <c r="D3" s="122" t="str">
        <f>"0401010"</f>
        <v>0401010</v>
      </c>
      <c r="E3" s="123" t="s">
        <v>22</v>
      </c>
      <c r="F3" s="121" t="s">
        <v>25</v>
      </c>
      <c r="G3" s="121" t="s">
        <v>48</v>
      </c>
      <c r="H3" s="124" t="s">
        <v>25</v>
      </c>
      <c r="I3" s="124">
        <v>12</v>
      </c>
      <c r="J3" s="124">
        <v>3</v>
      </c>
      <c r="K3" s="124">
        <v>8</v>
      </c>
      <c r="L3" s="124">
        <v>2</v>
      </c>
      <c r="M3" s="124">
        <v>0</v>
      </c>
      <c r="N3" s="124"/>
      <c r="O3" s="124">
        <v>0</v>
      </c>
      <c r="P3" s="124"/>
      <c r="Q3" s="124">
        <v>1</v>
      </c>
      <c r="R3" s="124">
        <v>1</v>
      </c>
      <c r="S3" s="124">
        <v>1</v>
      </c>
      <c r="T3" s="124"/>
      <c r="U3" s="124">
        <v>0</v>
      </c>
      <c r="V3" s="124"/>
      <c r="W3" s="124">
        <v>2</v>
      </c>
      <c r="X3" s="124">
        <v>2</v>
      </c>
      <c r="Y3" s="124">
        <v>0</v>
      </c>
      <c r="Z3" s="124">
        <v>0</v>
      </c>
      <c r="AA3" s="124">
        <v>0</v>
      </c>
      <c r="AB3" s="124">
        <v>0</v>
      </c>
      <c r="AC3" s="124">
        <v>0</v>
      </c>
      <c r="AD3" s="124">
        <v>0</v>
      </c>
      <c r="AE3" s="124">
        <v>9</v>
      </c>
      <c r="AF3" s="124">
        <v>0</v>
      </c>
      <c r="AG3" s="124">
        <v>0</v>
      </c>
      <c r="AH3" s="124">
        <v>0</v>
      </c>
      <c r="AI3" s="124"/>
      <c r="AJ3" s="124"/>
      <c r="AK3" s="101">
        <v>181</v>
      </c>
    </row>
    <row r="4" spans="1:38" s="125" customFormat="1" ht="20.25" customHeight="1">
      <c r="A4" s="120">
        <v>2</v>
      </c>
      <c r="B4" s="120" t="s">
        <v>101</v>
      </c>
      <c r="C4" s="121" t="s">
        <v>102</v>
      </c>
      <c r="D4" s="122" t="str">
        <f>"0401015"</f>
        <v>0401015</v>
      </c>
      <c r="E4" s="123" t="s">
        <v>22</v>
      </c>
      <c r="F4" s="121" t="s">
        <v>25</v>
      </c>
      <c r="G4" s="121" t="s">
        <v>48</v>
      </c>
      <c r="H4" s="124" t="s">
        <v>25</v>
      </c>
      <c r="I4" s="126"/>
      <c r="J4" s="126"/>
      <c r="K4" s="126"/>
      <c r="L4" s="124"/>
      <c r="M4" s="126"/>
      <c r="N4" s="126"/>
      <c r="O4" s="126"/>
      <c r="P4" s="126"/>
      <c r="Q4" s="126"/>
      <c r="R4" s="126"/>
      <c r="S4" s="126"/>
      <c r="T4" s="124"/>
      <c r="U4" s="126"/>
      <c r="V4" s="126"/>
      <c r="W4" s="126"/>
      <c r="X4" s="126"/>
      <c r="Y4" s="126"/>
      <c r="Z4" s="124">
        <v>0</v>
      </c>
      <c r="AA4" s="126"/>
      <c r="AB4" s="124">
        <v>0</v>
      </c>
      <c r="AC4" s="126"/>
      <c r="AD4" s="124">
        <v>0</v>
      </c>
      <c r="AE4" s="126"/>
      <c r="AF4" s="124">
        <v>0</v>
      </c>
      <c r="AG4" s="126"/>
      <c r="AH4" s="126"/>
      <c r="AI4" s="126"/>
      <c r="AJ4" s="126"/>
      <c r="AK4" s="101">
        <v>44</v>
      </c>
    </row>
    <row r="5" spans="1:38" s="125" customFormat="1" ht="20.25" customHeight="1">
      <c r="A5" s="120">
        <v>3</v>
      </c>
      <c r="B5" s="120" t="s">
        <v>101</v>
      </c>
      <c r="C5" s="121" t="s">
        <v>61</v>
      </c>
      <c r="D5" s="122" t="str">
        <f>"0401020"</f>
        <v>0401020</v>
      </c>
      <c r="E5" s="123" t="s">
        <v>22</v>
      </c>
      <c r="F5" s="121" t="s">
        <v>25</v>
      </c>
      <c r="G5" s="121" t="s">
        <v>48</v>
      </c>
      <c r="H5" s="124" t="s">
        <v>25</v>
      </c>
      <c r="I5" s="124"/>
      <c r="J5" s="124">
        <v>1</v>
      </c>
      <c r="K5" s="124"/>
      <c r="L5" s="124">
        <v>1</v>
      </c>
      <c r="M5" s="124"/>
      <c r="N5" s="124"/>
      <c r="O5" s="124"/>
      <c r="P5" s="124"/>
      <c r="Q5" s="124"/>
      <c r="R5" s="124">
        <v>1</v>
      </c>
      <c r="S5" s="124"/>
      <c r="T5" s="124"/>
      <c r="U5" s="124"/>
      <c r="V5" s="124"/>
      <c r="W5" s="124"/>
      <c r="X5" s="124"/>
      <c r="Y5" s="124"/>
      <c r="Z5" s="124">
        <v>0</v>
      </c>
      <c r="AA5" s="124"/>
      <c r="AB5" s="124">
        <v>0</v>
      </c>
      <c r="AC5" s="124"/>
      <c r="AD5" s="124">
        <v>0</v>
      </c>
      <c r="AE5" s="124"/>
      <c r="AF5" s="124">
        <v>0</v>
      </c>
      <c r="AG5" s="124"/>
      <c r="AH5" s="124"/>
      <c r="AI5" s="124"/>
      <c r="AJ5" s="124"/>
      <c r="AK5" s="101">
        <v>189</v>
      </c>
    </row>
    <row r="6" spans="1:38" s="125" customFormat="1" ht="20.25" customHeight="1">
      <c r="A6" s="120">
        <v>4</v>
      </c>
      <c r="B6" s="120" t="s">
        <v>101</v>
      </c>
      <c r="C6" s="121" t="s">
        <v>62</v>
      </c>
      <c r="D6" s="122" t="str">
        <f>"0401030"</f>
        <v>0401030</v>
      </c>
      <c r="E6" s="123" t="s">
        <v>22</v>
      </c>
      <c r="F6" s="121" t="s">
        <v>25</v>
      </c>
      <c r="G6" s="121" t="s">
        <v>48</v>
      </c>
      <c r="H6" s="124" t="s">
        <v>25</v>
      </c>
      <c r="I6" s="124"/>
      <c r="J6" s="124">
        <v>1</v>
      </c>
      <c r="K6" s="124"/>
      <c r="L6" s="124">
        <v>1</v>
      </c>
      <c r="M6" s="124"/>
      <c r="N6" s="124"/>
      <c r="O6" s="124"/>
      <c r="P6" s="124"/>
      <c r="Q6" s="124"/>
      <c r="R6" s="124">
        <v>1</v>
      </c>
      <c r="S6" s="124"/>
      <c r="T6" s="124"/>
      <c r="U6" s="124"/>
      <c r="V6" s="124"/>
      <c r="W6" s="124"/>
      <c r="X6" s="124"/>
      <c r="Y6" s="124"/>
      <c r="Z6" s="124">
        <v>0</v>
      </c>
      <c r="AA6" s="124"/>
      <c r="AB6" s="124">
        <v>0</v>
      </c>
      <c r="AC6" s="124"/>
      <c r="AD6" s="124">
        <v>0</v>
      </c>
      <c r="AE6" s="124"/>
      <c r="AF6" s="124">
        <v>0</v>
      </c>
      <c r="AG6" s="124"/>
      <c r="AH6" s="124"/>
      <c r="AI6" s="124"/>
      <c r="AJ6" s="124"/>
      <c r="AK6" s="101">
        <v>173</v>
      </c>
    </row>
    <row r="7" spans="1:38" s="127" customFormat="1" ht="15.75">
      <c r="A7" s="120">
        <v>5</v>
      </c>
      <c r="B7" s="120" t="s">
        <v>101</v>
      </c>
      <c r="C7" s="121" t="s">
        <v>63</v>
      </c>
      <c r="D7" s="122" t="str">
        <f>"0401031"</f>
        <v>0401031</v>
      </c>
      <c r="E7" s="123" t="s">
        <v>22</v>
      </c>
      <c r="F7" s="121" t="s">
        <v>25</v>
      </c>
      <c r="G7" s="121" t="s">
        <v>48</v>
      </c>
      <c r="H7" s="124" t="s">
        <v>25</v>
      </c>
      <c r="I7" s="124">
        <v>3</v>
      </c>
      <c r="J7" s="124">
        <v>1</v>
      </c>
      <c r="K7" s="124">
        <v>3</v>
      </c>
      <c r="L7" s="124">
        <v>1</v>
      </c>
      <c r="M7" s="124">
        <v>0</v>
      </c>
      <c r="N7" s="124"/>
      <c r="O7" s="124">
        <v>3</v>
      </c>
      <c r="P7" s="124">
        <v>1</v>
      </c>
      <c r="Q7" s="124">
        <v>1</v>
      </c>
      <c r="R7" s="124">
        <v>1</v>
      </c>
      <c r="S7" s="124"/>
      <c r="T7" s="124"/>
      <c r="U7" s="124">
        <v>1</v>
      </c>
      <c r="V7" s="124">
        <v>1</v>
      </c>
      <c r="W7" s="124">
        <v>2</v>
      </c>
      <c r="X7" s="124">
        <v>2</v>
      </c>
      <c r="Y7" s="124">
        <v>0</v>
      </c>
      <c r="Z7" s="124">
        <v>0</v>
      </c>
      <c r="AA7" s="124" t="s">
        <v>832</v>
      </c>
      <c r="AB7" s="124">
        <v>1</v>
      </c>
      <c r="AC7" s="124" t="s">
        <v>833</v>
      </c>
      <c r="AD7" s="124">
        <v>1</v>
      </c>
      <c r="AE7" s="124">
        <v>3</v>
      </c>
      <c r="AF7" s="124">
        <v>0</v>
      </c>
      <c r="AG7" s="124">
        <v>0</v>
      </c>
      <c r="AH7" s="124">
        <v>0</v>
      </c>
      <c r="AI7" s="124"/>
      <c r="AJ7" s="124"/>
      <c r="AK7" s="101">
        <v>131</v>
      </c>
    </row>
    <row r="8" spans="1:38" s="127" customFormat="1" ht="15.75">
      <c r="A8" s="120">
        <v>6</v>
      </c>
      <c r="B8" s="120" t="s">
        <v>101</v>
      </c>
      <c r="C8" s="121" t="s">
        <v>64</v>
      </c>
      <c r="D8" s="122" t="str">
        <f>"0401032"</f>
        <v>0401032</v>
      </c>
      <c r="E8" s="123" t="s">
        <v>22</v>
      </c>
      <c r="F8" s="121" t="s">
        <v>25</v>
      </c>
      <c r="G8" s="121" t="s">
        <v>48</v>
      </c>
      <c r="H8" s="124" t="s">
        <v>25</v>
      </c>
      <c r="I8" s="126">
        <v>2</v>
      </c>
      <c r="J8" s="126">
        <v>1</v>
      </c>
      <c r="K8" s="126">
        <v>2</v>
      </c>
      <c r="L8" s="124">
        <v>1</v>
      </c>
      <c r="M8" s="126">
        <v>1</v>
      </c>
      <c r="N8" s="126">
        <v>1</v>
      </c>
      <c r="O8" s="126">
        <v>0</v>
      </c>
      <c r="P8" s="126"/>
      <c r="Q8" s="126">
        <v>0</v>
      </c>
      <c r="R8" s="126"/>
      <c r="S8" s="126">
        <v>0</v>
      </c>
      <c r="T8" s="124"/>
      <c r="U8" s="126">
        <v>1</v>
      </c>
      <c r="V8" s="126">
        <v>1</v>
      </c>
      <c r="W8" s="126">
        <v>3</v>
      </c>
      <c r="X8" s="126">
        <v>3</v>
      </c>
      <c r="Y8" s="126">
        <v>0</v>
      </c>
      <c r="Z8" s="124">
        <v>0</v>
      </c>
      <c r="AA8" s="126">
        <v>0</v>
      </c>
      <c r="AB8" s="124">
        <v>0</v>
      </c>
      <c r="AC8" s="126">
        <v>0</v>
      </c>
      <c r="AD8" s="124">
        <v>0</v>
      </c>
      <c r="AE8" s="126">
        <v>3</v>
      </c>
      <c r="AF8" s="124">
        <v>0</v>
      </c>
      <c r="AG8" s="126">
        <v>0</v>
      </c>
      <c r="AH8" s="126">
        <v>0</v>
      </c>
      <c r="AI8" s="126"/>
      <c r="AJ8" s="126"/>
      <c r="AK8" s="101">
        <v>113</v>
      </c>
    </row>
    <row r="9" spans="1:38" s="127" customFormat="1" ht="15.75">
      <c r="A9" s="120">
        <v>7</v>
      </c>
      <c r="B9" s="120" t="s">
        <v>101</v>
      </c>
      <c r="C9" s="121" t="s">
        <v>67</v>
      </c>
      <c r="D9" s="122" t="str">
        <f>"0401040"</f>
        <v>0401040</v>
      </c>
      <c r="E9" s="123" t="s">
        <v>22</v>
      </c>
      <c r="F9" s="121" t="s">
        <v>25</v>
      </c>
      <c r="G9" s="121" t="s">
        <v>48</v>
      </c>
      <c r="H9" s="124" t="s">
        <v>25</v>
      </c>
      <c r="I9" s="126"/>
      <c r="J9" s="126"/>
      <c r="K9" s="126">
        <v>1</v>
      </c>
      <c r="L9" s="124">
        <v>1</v>
      </c>
      <c r="M9" s="126">
        <v>1</v>
      </c>
      <c r="N9" s="126">
        <v>1</v>
      </c>
      <c r="O9" s="126">
        <v>1</v>
      </c>
      <c r="P9" s="126"/>
      <c r="Q9" s="126">
        <v>2</v>
      </c>
      <c r="R9" s="126"/>
      <c r="S9" s="126">
        <v>1</v>
      </c>
      <c r="T9" s="124"/>
      <c r="U9" s="126">
        <v>1</v>
      </c>
      <c r="V9" s="126"/>
      <c r="W9" s="126">
        <v>1</v>
      </c>
      <c r="X9" s="126">
        <v>1</v>
      </c>
      <c r="Y9" s="126"/>
      <c r="Z9" s="124">
        <v>0</v>
      </c>
      <c r="AA9" s="126">
        <v>1</v>
      </c>
      <c r="AB9" s="124">
        <v>1</v>
      </c>
      <c r="AC9" s="126">
        <v>1</v>
      </c>
      <c r="AD9" s="124">
        <v>1</v>
      </c>
      <c r="AE9" s="126">
        <v>0</v>
      </c>
      <c r="AF9" s="124">
        <v>0</v>
      </c>
      <c r="AG9" s="126">
        <v>0</v>
      </c>
      <c r="AH9" s="126">
        <v>0</v>
      </c>
      <c r="AI9" s="126" t="s">
        <v>834</v>
      </c>
      <c r="AJ9" s="126" t="s">
        <v>834</v>
      </c>
      <c r="AK9" s="101">
        <v>51</v>
      </c>
    </row>
    <row r="10" spans="1:38" s="127" customFormat="1" ht="15.75">
      <c r="A10" s="120">
        <v>8</v>
      </c>
      <c r="B10" s="120" t="s">
        <v>101</v>
      </c>
      <c r="C10" s="121" t="s">
        <v>66</v>
      </c>
      <c r="D10" s="122" t="str">
        <f>"0408010"</f>
        <v>0408010</v>
      </c>
      <c r="E10" s="123" t="s">
        <v>22</v>
      </c>
      <c r="F10" s="121" t="s">
        <v>25</v>
      </c>
      <c r="G10" s="121" t="s">
        <v>48</v>
      </c>
      <c r="H10" s="126" t="s">
        <v>52</v>
      </c>
      <c r="I10" s="126">
        <v>10</v>
      </c>
      <c r="J10" s="126">
        <v>2</v>
      </c>
      <c r="K10" s="126">
        <v>3</v>
      </c>
      <c r="L10" s="124">
        <v>1</v>
      </c>
      <c r="M10" s="126">
        <v>1</v>
      </c>
      <c r="N10" s="126">
        <v>1</v>
      </c>
      <c r="O10" s="126">
        <v>1</v>
      </c>
      <c r="P10" s="126"/>
      <c r="Q10" s="126">
        <v>1</v>
      </c>
      <c r="R10" s="126"/>
      <c r="S10" s="126">
        <v>0</v>
      </c>
      <c r="T10" s="124"/>
      <c r="U10" s="126">
        <v>1</v>
      </c>
      <c r="V10" s="126">
        <v>1</v>
      </c>
      <c r="W10" s="126">
        <v>1</v>
      </c>
      <c r="X10" s="126">
        <v>1</v>
      </c>
      <c r="Y10" s="126">
        <v>1</v>
      </c>
      <c r="Z10" s="124">
        <v>1</v>
      </c>
      <c r="AA10" s="126">
        <v>0</v>
      </c>
      <c r="AB10" s="124">
        <v>0</v>
      </c>
      <c r="AC10" s="126">
        <v>0</v>
      </c>
      <c r="AD10" s="124">
        <v>0</v>
      </c>
      <c r="AE10" s="126">
        <v>2</v>
      </c>
      <c r="AF10" s="124">
        <v>0</v>
      </c>
      <c r="AG10" s="126">
        <v>0</v>
      </c>
      <c r="AH10" s="126">
        <v>0</v>
      </c>
      <c r="AI10" s="126"/>
      <c r="AJ10" s="126"/>
      <c r="AK10" s="101">
        <v>59</v>
      </c>
    </row>
    <row r="11" spans="1:38" s="127" customFormat="1" ht="15.75">
      <c r="A11" s="120">
        <v>9</v>
      </c>
      <c r="B11" s="120" t="s">
        <v>101</v>
      </c>
      <c r="C11" s="121" t="s">
        <v>103</v>
      </c>
      <c r="D11" s="122" t="str">
        <f>"0413010"</f>
        <v>0413010</v>
      </c>
      <c r="E11" s="123" t="s">
        <v>22</v>
      </c>
      <c r="F11" s="121" t="s">
        <v>25</v>
      </c>
      <c r="G11" s="121" t="s">
        <v>48</v>
      </c>
      <c r="H11" s="124" t="s">
        <v>25</v>
      </c>
      <c r="I11" s="126">
        <v>6</v>
      </c>
      <c r="J11" s="126">
        <v>2</v>
      </c>
      <c r="K11" s="126">
        <v>6</v>
      </c>
      <c r="L11" s="124">
        <v>2</v>
      </c>
      <c r="M11" s="126">
        <v>1</v>
      </c>
      <c r="N11" s="126">
        <v>1</v>
      </c>
      <c r="O11" s="126">
        <v>1</v>
      </c>
      <c r="P11" s="126"/>
      <c r="Q11" s="126">
        <v>1</v>
      </c>
      <c r="R11" s="126"/>
      <c r="S11" s="126">
        <v>1</v>
      </c>
      <c r="T11" s="124"/>
      <c r="U11" s="126">
        <v>1</v>
      </c>
      <c r="V11" s="126"/>
      <c r="W11" s="126">
        <v>4</v>
      </c>
      <c r="X11" s="126">
        <v>4</v>
      </c>
      <c r="Y11" s="126">
        <v>1</v>
      </c>
      <c r="Z11" s="124">
        <v>1</v>
      </c>
      <c r="AA11" s="126" t="s">
        <v>835</v>
      </c>
      <c r="AB11" s="124">
        <v>1</v>
      </c>
      <c r="AC11" s="126" t="s">
        <v>836</v>
      </c>
      <c r="AD11" s="124">
        <v>1</v>
      </c>
      <c r="AE11" s="126">
        <v>0</v>
      </c>
      <c r="AF11" s="124">
        <v>0</v>
      </c>
      <c r="AG11" s="126">
        <v>0</v>
      </c>
      <c r="AH11" s="126">
        <v>0</v>
      </c>
      <c r="AI11" s="126"/>
      <c r="AJ11" s="126"/>
      <c r="AK11" s="101">
        <v>123</v>
      </c>
    </row>
    <row r="12" spans="1:38" s="127" customFormat="1" ht="15.75">
      <c r="A12" s="120">
        <v>10</v>
      </c>
      <c r="B12" s="120" t="s">
        <v>101</v>
      </c>
      <c r="C12" s="121" t="s">
        <v>71</v>
      </c>
      <c r="D12" s="122" t="str">
        <f>"0413020"</f>
        <v>0413020</v>
      </c>
      <c r="E12" s="123" t="s">
        <v>22</v>
      </c>
      <c r="F12" s="121" t="s">
        <v>25</v>
      </c>
      <c r="G12" s="121" t="s">
        <v>48</v>
      </c>
      <c r="H12" s="124" t="s">
        <v>25</v>
      </c>
      <c r="I12" s="126">
        <v>0</v>
      </c>
      <c r="J12" s="126">
        <v>0</v>
      </c>
      <c r="K12" s="126">
        <v>3</v>
      </c>
      <c r="L12" s="124">
        <v>1</v>
      </c>
      <c r="M12" s="126">
        <v>3</v>
      </c>
      <c r="N12" s="126">
        <v>1</v>
      </c>
      <c r="O12" s="126">
        <v>0</v>
      </c>
      <c r="P12" s="126"/>
      <c r="Q12" s="126">
        <v>1</v>
      </c>
      <c r="R12" s="126"/>
      <c r="S12" s="126">
        <v>1</v>
      </c>
      <c r="T12" s="124"/>
      <c r="U12" s="126">
        <v>1</v>
      </c>
      <c r="V12" s="126"/>
      <c r="W12" s="126">
        <v>0</v>
      </c>
      <c r="X12" s="126">
        <v>0</v>
      </c>
      <c r="Y12" s="126">
        <v>0</v>
      </c>
      <c r="Z12" s="124">
        <v>0</v>
      </c>
      <c r="AA12" s="126" t="s">
        <v>839</v>
      </c>
      <c r="AB12" s="124">
        <v>1</v>
      </c>
      <c r="AC12" s="126" t="s">
        <v>840</v>
      </c>
      <c r="AD12" s="124">
        <v>1</v>
      </c>
      <c r="AE12" s="126">
        <v>2</v>
      </c>
      <c r="AF12" s="124">
        <v>0</v>
      </c>
      <c r="AG12" s="126">
        <v>0</v>
      </c>
      <c r="AH12" s="126">
        <v>0</v>
      </c>
      <c r="AI12" s="126" t="s">
        <v>841</v>
      </c>
      <c r="AJ12" s="126" t="s">
        <v>841</v>
      </c>
      <c r="AK12" s="101">
        <v>76</v>
      </c>
    </row>
    <row r="13" spans="1:38" s="127" customFormat="1" ht="15.75">
      <c r="A13" s="120">
        <v>11</v>
      </c>
      <c r="B13" s="120" t="s">
        <v>101</v>
      </c>
      <c r="C13" s="121" t="s">
        <v>43</v>
      </c>
      <c r="D13" s="122" t="str">
        <f>"0404010"</f>
        <v>0404010</v>
      </c>
      <c r="E13" s="123" t="s">
        <v>22</v>
      </c>
      <c r="F13" s="121" t="s">
        <v>25</v>
      </c>
      <c r="G13" s="121" t="s">
        <v>49</v>
      </c>
      <c r="H13" s="126" t="s">
        <v>53</v>
      </c>
      <c r="I13" s="126">
        <v>0</v>
      </c>
      <c r="J13" s="126">
        <v>0</v>
      </c>
      <c r="K13" s="126">
        <v>2</v>
      </c>
      <c r="L13" s="124">
        <v>1</v>
      </c>
      <c r="M13" s="126">
        <v>1</v>
      </c>
      <c r="N13" s="126">
        <v>1</v>
      </c>
      <c r="O13" s="126">
        <v>1</v>
      </c>
      <c r="P13" s="126"/>
      <c r="Q13" s="126">
        <v>1</v>
      </c>
      <c r="R13" s="126">
        <v>1</v>
      </c>
      <c r="S13" s="126">
        <v>1</v>
      </c>
      <c r="T13" s="124"/>
      <c r="U13" s="126">
        <v>1</v>
      </c>
      <c r="V13" s="126">
        <v>1</v>
      </c>
      <c r="W13" s="126">
        <v>1</v>
      </c>
      <c r="X13" s="126">
        <v>1</v>
      </c>
      <c r="Y13" s="126">
        <v>1</v>
      </c>
      <c r="Z13" s="124">
        <v>1</v>
      </c>
      <c r="AA13" s="126">
        <v>0</v>
      </c>
      <c r="AB13" s="124">
        <v>0</v>
      </c>
      <c r="AC13" s="126">
        <v>0</v>
      </c>
      <c r="AD13" s="124">
        <v>0</v>
      </c>
      <c r="AE13" s="126">
        <v>0</v>
      </c>
      <c r="AF13" s="124">
        <v>0</v>
      </c>
      <c r="AG13" s="126">
        <v>0</v>
      </c>
      <c r="AH13" s="126">
        <v>0</v>
      </c>
      <c r="AI13" s="126"/>
      <c r="AJ13" s="126"/>
      <c r="AK13" s="101">
        <v>17</v>
      </c>
    </row>
    <row r="14" spans="1:38" s="127" customFormat="1" ht="15.75">
      <c r="A14" s="120">
        <v>12</v>
      </c>
      <c r="B14" s="120" t="s">
        <v>101</v>
      </c>
      <c r="C14" s="121" t="s">
        <v>69</v>
      </c>
      <c r="D14" s="122" t="str">
        <f>"0412010"</f>
        <v>0412010</v>
      </c>
      <c r="E14" s="123" t="s">
        <v>22</v>
      </c>
      <c r="F14" s="121" t="s">
        <v>25</v>
      </c>
      <c r="G14" s="121" t="s">
        <v>49</v>
      </c>
      <c r="H14" s="126" t="s">
        <v>58</v>
      </c>
      <c r="I14" s="126">
        <v>0</v>
      </c>
      <c r="J14" s="126">
        <v>0</v>
      </c>
      <c r="K14" s="126">
        <v>0</v>
      </c>
      <c r="L14" s="124"/>
      <c r="M14" s="126">
        <v>1</v>
      </c>
      <c r="N14" s="126">
        <v>1</v>
      </c>
      <c r="O14" s="126">
        <v>0</v>
      </c>
      <c r="P14" s="126"/>
      <c r="Q14" s="126">
        <v>0</v>
      </c>
      <c r="R14" s="126"/>
      <c r="S14" s="126">
        <v>0</v>
      </c>
      <c r="T14" s="124"/>
      <c r="U14" s="126">
        <v>1</v>
      </c>
      <c r="V14" s="126"/>
      <c r="W14" s="126">
        <v>0</v>
      </c>
      <c r="X14" s="126">
        <v>0</v>
      </c>
      <c r="Y14" s="126">
        <v>0</v>
      </c>
      <c r="Z14" s="124">
        <v>0</v>
      </c>
      <c r="AA14" s="126" t="s">
        <v>837</v>
      </c>
      <c r="AB14" s="124">
        <v>1</v>
      </c>
      <c r="AC14" s="126" t="s">
        <v>838</v>
      </c>
      <c r="AD14" s="124">
        <v>1</v>
      </c>
      <c r="AE14" s="126">
        <v>0</v>
      </c>
      <c r="AF14" s="124">
        <v>0</v>
      </c>
      <c r="AG14" s="126">
        <v>0</v>
      </c>
      <c r="AH14" s="126">
        <v>0</v>
      </c>
      <c r="AI14" s="126" t="s">
        <v>834</v>
      </c>
      <c r="AJ14" s="126" t="s">
        <v>834</v>
      </c>
      <c r="AK14" s="101">
        <v>24</v>
      </c>
    </row>
    <row r="15" spans="1:38" s="127" customFormat="1" ht="15.75">
      <c r="A15" s="120">
        <v>13</v>
      </c>
      <c r="B15" s="120" t="s">
        <v>101</v>
      </c>
      <c r="C15" s="121" t="s">
        <v>65</v>
      </c>
      <c r="D15" s="122" t="str">
        <f>"0402010"</f>
        <v>0402010</v>
      </c>
      <c r="E15" s="123" t="s">
        <v>22</v>
      </c>
      <c r="F15" s="121" t="s">
        <v>25</v>
      </c>
      <c r="G15" s="121" t="s">
        <v>50</v>
      </c>
      <c r="H15" s="126" t="s">
        <v>57</v>
      </c>
      <c r="I15" s="126">
        <v>5</v>
      </c>
      <c r="J15" s="126">
        <v>1</v>
      </c>
      <c r="K15" s="126">
        <v>2</v>
      </c>
      <c r="L15" s="124">
        <v>1</v>
      </c>
      <c r="M15" s="126">
        <v>0</v>
      </c>
      <c r="N15" s="126"/>
      <c r="O15" s="126">
        <v>0</v>
      </c>
      <c r="P15" s="126"/>
      <c r="Q15" s="126">
        <v>0</v>
      </c>
      <c r="R15" s="126"/>
      <c r="S15" s="126">
        <v>0</v>
      </c>
      <c r="T15" s="124"/>
      <c r="U15" s="126">
        <v>1</v>
      </c>
      <c r="V15" s="126">
        <v>1</v>
      </c>
      <c r="W15" s="126">
        <v>0</v>
      </c>
      <c r="X15" s="126">
        <v>0</v>
      </c>
      <c r="Y15" s="126">
        <v>0</v>
      </c>
      <c r="Z15" s="124">
        <v>0</v>
      </c>
      <c r="AA15" s="126">
        <v>0</v>
      </c>
      <c r="AB15" s="124">
        <v>0</v>
      </c>
      <c r="AC15" s="126">
        <v>0</v>
      </c>
      <c r="AD15" s="124">
        <v>0</v>
      </c>
      <c r="AE15" s="126">
        <v>5</v>
      </c>
      <c r="AF15" s="124">
        <v>0</v>
      </c>
      <c r="AG15" s="126">
        <v>0</v>
      </c>
      <c r="AH15" s="126">
        <v>0</v>
      </c>
      <c r="AI15" s="126"/>
      <c r="AJ15" s="126"/>
      <c r="AK15" s="101">
        <v>6</v>
      </c>
    </row>
    <row r="16" spans="1:38" s="127" customFormat="1" ht="15.75">
      <c r="A16" s="120">
        <v>14</v>
      </c>
      <c r="B16" s="120" t="s">
        <v>101</v>
      </c>
      <c r="C16" s="121" t="s">
        <v>44</v>
      </c>
      <c r="D16" s="122" t="str">
        <f>"0403010"</f>
        <v>0403010</v>
      </c>
      <c r="E16" s="123" t="s">
        <v>22</v>
      </c>
      <c r="F16" s="121" t="s">
        <v>25</v>
      </c>
      <c r="G16" s="121" t="s">
        <v>50</v>
      </c>
      <c r="H16" s="126" t="s">
        <v>54</v>
      </c>
      <c r="I16" s="126">
        <v>0</v>
      </c>
      <c r="J16" s="126">
        <v>0</v>
      </c>
      <c r="K16" s="126">
        <v>2</v>
      </c>
      <c r="L16" s="124">
        <v>1</v>
      </c>
      <c r="M16" s="126">
        <v>1</v>
      </c>
      <c r="N16" s="126">
        <v>1</v>
      </c>
      <c r="O16" s="126">
        <v>0</v>
      </c>
      <c r="P16" s="126"/>
      <c r="Q16" s="126">
        <v>0</v>
      </c>
      <c r="R16" s="126"/>
      <c r="S16" s="126">
        <v>0</v>
      </c>
      <c r="T16" s="124"/>
      <c r="U16" s="126">
        <v>1</v>
      </c>
      <c r="V16" s="126">
        <v>1</v>
      </c>
      <c r="W16" s="126">
        <v>1</v>
      </c>
      <c r="X16" s="126">
        <v>1</v>
      </c>
      <c r="Y16" s="126">
        <v>0</v>
      </c>
      <c r="Z16" s="124">
        <v>0</v>
      </c>
      <c r="AA16" s="126">
        <v>0</v>
      </c>
      <c r="AB16" s="124">
        <v>0</v>
      </c>
      <c r="AC16" s="126">
        <v>0</v>
      </c>
      <c r="AD16" s="124">
        <v>0</v>
      </c>
      <c r="AE16" s="126">
        <v>1</v>
      </c>
      <c r="AF16" s="124">
        <v>0</v>
      </c>
      <c r="AG16" s="126">
        <v>0</v>
      </c>
      <c r="AH16" s="126">
        <v>0</v>
      </c>
      <c r="AI16" s="126"/>
      <c r="AJ16" s="126"/>
      <c r="AK16" s="101">
        <v>25</v>
      </c>
    </row>
    <row r="17" spans="1:37" s="127" customFormat="1" ht="15.75">
      <c r="A17" s="120">
        <v>15</v>
      </c>
      <c r="B17" s="120" t="s">
        <v>101</v>
      </c>
      <c r="C17" s="121" t="s">
        <v>45</v>
      </c>
      <c r="D17" s="122" t="str">
        <f>"0406010"</f>
        <v>0406010</v>
      </c>
      <c r="E17" s="123" t="s">
        <v>22</v>
      </c>
      <c r="F17" s="121" t="s">
        <v>25</v>
      </c>
      <c r="G17" s="121" t="s">
        <v>51</v>
      </c>
      <c r="H17" s="126" t="s">
        <v>59</v>
      </c>
      <c r="I17" s="126">
        <v>12</v>
      </c>
      <c r="J17" s="126">
        <v>2</v>
      </c>
      <c r="K17" s="126">
        <v>4</v>
      </c>
      <c r="L17" s="124">
        <v>1</v>
      </c>
      <c r="M17" s="126">
        <v>1</v>
      </c>
      <c r="N17" s="126">
        <v>1</v>
      </c>
      <c r="O17" s="126">
        <v>2</v>
      </c>
      <c r="P17" s="126"/>
      <c r="Q17" s="126">
        <v>1</v>
      </c>
      <c r="R17" s="126"/>
      <c r="S17" s="126">
        <v>1</v>
      </c>
      <c r="T17" s="124"/>
      <c r="U17" s="126">
        <v>1</v>
      </c>
      <c r="V17" s="126"/>
      <c r="W17" s="126">
        <v>4</v>
      </c>
      <c r="X17" s="126">
        <v>4</v>
      </c>
      <c r="Y17" s="126">
        <v>0</v>
      </c>
      <c r="Z17" s="124">
        <v>0</v>
      </c>
      <c r="AA17" s="126">
        <v>0</v>
      </c>
      <c r="AB17" s="124">
        <v>0</v>
      </c>
      <c r="AC17" s="126">
        <v>0</v>
      </c>
      <c r="AD17" s="124">
        <v>0</v>
      </c>
      <c r="AE17" s="126">
        <v>0</v>
      </c>
      <c r="AF17" s="124">
        <v>0</v>
      </c>
      <c r="AG17" s="126">
        <v>0</v>
      </c>
      <c r="AH17" s="126">
        <v>0</v>
      </c>
      <c r="AI17" s="126"/>
      <c r="AJ17" s="126"/>
      <c r="AK17" s="101">
        <v>118</v>
      </c>
    </row>
    <row r="18" spans="1:37" s="127" customFormat="1" ht="15.75">
      <c r="A18" s="120">
        <v>16</v>
      </c>
      <c r="B18" s="120" t="s">
        <v>101</v>
      </c>
      <c r="C18" s="121" t="s">
        <v>68</v>
      </c>
      <c r="D18" s="122" t="str">
        <f>"0407010"</f>
        <v>0407010</v>
      </c>
      <c r="E18" s="123" t="s">
        <v>22</v>
      </c>
      <c r="F18" s="121" t="s">
        <v>25</v>
      </c>
      <c r="G18" s="121" t="s">
        <v>51</v>
      </c>
      <c r="H18" s="126" t="s">
        <v>55</v>
      </c>
      <c r="I18" s="126"/>
      <c r="J18" s="126"/>
      <c r="K18" s="126"/>
      <c r="L18" s="124"/>
      <c r="M18" s="126"/>
      <c r="N18" s="126"/>
      <c r="O18" s="126"/>
      <c r="P18" s="126"/>
      <c r="Q18" s="126"/>
      <c r="R18" s="126"/>
      <c r="S18" s="126"/>
      <c r="T18" s="124"/>
      <c r="U18" s="126"/>
      <c r="V18" s="126"/>
      <c r="W18" s="126"/>
      <c r="X18" s="126"/>
      <c r="Y18" s="126"/>
      <c r="Z18" s="124">
        <v>0</v>
      </c>
      <c r="AA18" s="126"/>
      <c r="AB18" s="124">
        <v>0</v>
      </c>
      <c r="AC18" s="126"/>
      <c r="AD18" s="124">
        <v>0</v>
      </c>
      <c r="AE18" s="126"/>
      <c r="AF18" s="124">
        <v>0</v>
      </c>
      <c r="AG18" s="126"/>
      <c r="AH18" s="126"/>
      <c r="AI18" s="126"/>
      <c r="AJ18" s="126"/>
      <c r="AK18" s="101">
        <v>59</v>
      </c>
    </row>
    <row r="19" spans="1:37" s="127" customFormat="1" ht="15.75">
      <c r="A19" s="120">
        <v>17</v>
      </c>
      <c r="B19" s="120" t="s">
        <v>101</v>
      </c>
      <c r="C19" s="121" t="s">
        <v>70</v>
      </c>
      <c r="D19" s="122" t="str">
        <f>"0411010"</f>
        <v>0411010</v>
      </c>
      <c r="E19" s="123" t="s">
        <v>22</v>
      </c>
      <c r="F19" s="121" t="s">
        <v>25</v>
      </c>
      <c r="G19" s="121" t="s">
        <v>51</v>
      </c>
      <c r="H19" s="126" t="s">
        <v>56</v>
      </c>
      <c r="I19" s="126">
        <v>0</v>
      </c>
      <c r="J19" s="126">
        <v>0</v>
      </c>
      <c r="K19" s="126">
        <v>0</v>
      </c>
      <c r="L19" s="124"/>
      <c r="M19" s="126">
        <v>0</v>
      </c>
      <c r="N19" s="126"/>
      <c r="O19" s="126">
        <v>0</v>
      </c>
      <c r="P19" s="126"/>
      <c r="Q19" s="126">
        <v>0</v>
      </c>
      <c r="R19" s="126"/>
      <c r="S19" s="126">
        <v>0</v>
      </c>
      <c r="T19" s="124"/>
      <c r="U19" s="126">
        <v>0</v>
      </c>
      <c r="V19" s="126"/>
      <c r="W19" s="126">
        <v>0</v>
      </c>
      <c r="X19" s="126">
        <v>0</v>
      </c>
      <c r="Y19" s="126">
        <v>0</v>
      </c>
      <c r="Z19" s="124">
        <v>0</v>
      </c>
      <c r="AA19" s="126">
        <v>0</v>
      </c>
      <c r="AB19" s="124">
        <v>0</v>
      </c>
      <c r="AC19" s="126">
        <v>0</v>
      </c>
      <c r="AD19" s="124">
        <v>0</v>
      </c>
      <c r="AE19" s="126">
        <v>0</v>
      </c>
      <c r="AF19" s="124">
        <v>0</v>
      </c>
      <c r="AG19" s="126">
        <v>0</v>
      </c>
      <c r="AH19" s="126">
        <v>0</v>
      </c>
      <c r="AI19" s="126"/>
      <c r="AJ19" s="126"/>
      <c r="AK19" s="101">
        <v>73</v>
      </c>
    </row>
    <row r="20" spans="1:37" s="127" customFormat="1" ht="15.75">
      <c r="A20" s="120">
        <v>18</v>
      </c>
      <c r="B20" s="120" t="s">
        <v>101</v>
      </c>
      <c r="C20" s="121" t="s">
        <v>72</v>
      </c>
      <c r="D20" s="122" t="str">
        <f>"0401035"</f>
        <v>0401035</v>
      </c>
      <c r="E20" s="123" t="s">
        <v>84</v>
      </c>
      <c r="F20" s="121" t="s">
        <v>25</v>
      </c>
      <c r="G20" s="121" t="s">
        <v>48</v>
      </c>
      <c r="H20" s="124" t="s">
        <v>25</v>
      </c>
      <c r="I20" s="126">
        <v>15</v>
      </c>
      <c r="J20" s="126">
        <v>3</v>
      </c>
      <c r="K20" s="126">
        <v>5</v>
      </c>
      <c r="L20" s="124">
        <v>2</v>
      </c>
      <c r="M20" s="126">
        <v>2</v>
      </c>
      <c r="N20" s="126">
        <v>1</v>
      </c>
      <c r="O20" s="126">
        <v>0</v>
      </c>
      <c r="P20" s="126"/>
      <c r="Q20" s="126">
        <v>1</v>
      </c>
      <c r="R20" s="126">
        <v>1</v>
      </c>
      <c r="S20" s="126">
        <v>1</v>
      </c>
      <c r="T20" s="124"/>
      <c r="U20" s="126">
        <v>1</v>
      </c>
      <c r="V20" s="126"/>
      <c r="W20" s="126">
        <v>1</v>
      </c>
      <c r="X20" s="126">
        <v>1</v>
      </c>
      <c r="Y20" s="126">
        <v>0</v>
      </c>
      <c r="Z20" s="124">
        <v>0</v>
      </c>
      <c r="AA20" s="126" t="s">
        <v>842</v>
      </c>
      <c r="AB20" s="124">
        <v>1</v>
      </c>
      <c r="AC20" s="126" t="s">
        <v>842</v>
      </c>
      <c r="AD20" s="124">
        <v>1</v>
      </c>
      <c r="AE20" s="126">
        <v>0</v>
      </c>
      <c r="AF20" s="124">
        <v>0</v>
      </c>
      <c r="AG20" s="126">
        <v>0</v>
      </c>
      <c r="AH20" s="126">
        <v>0</v>
      </c>
      <c r="AI20" s="126"/>
      <c r="AJ20" s="126"/>
      <c r="AK20" s="101">
        <v>209</v>
      </c>
    </row>
    <row r="21" spans="1:37" s="127" customFormat="1" ht="15.75">
      <c r="A21" s="120">
        <v>19</v>
      </c>
      <c r="B21" s="120" t="s">
        <v>101</v>
      </c>
      <c r="C21" s="121" t="s">
        <v>73</v>
      </c>
      <c r="D21" s="122" t="str">
        <f>"0441001"</f>
        <v>0441001</v>
      </c>
      <c r="E21" s="123" t="s">
        <v>85</v>
      </c>
      <c r="F21" s="121" t="s">
        <v>25</v>
      </c>
      <c r="G21" s="121" t="s">
        <v>48</v>
      </c>
      <c r="H21" s="124" t="s">
        <v>25</v>
      </c>
      <c r="I21" s="126"/>
      <c r="J21" s="126"/>
      <c r="K21" s="126">
        <v>1</v>
      </c>
      <c r="L21" s="124">
        <v>1</v>
      </c>
      <c r="M21" s="126">
        <v>2</v>
      </c>
      <c r="N21" s="126">
        <v>1</v>
      </c>
      <c r="O21" s="126">
        <v>2</v>
      </c>
      <c r="P21" s="126"/>
      <c r="Q21" s="126">
        <v>2</v>
      </c>
      <c r="R21" s="126">
        <v>1</v>
      </c>
      <c r="S21" s="126">
        <v>1</v>
      </c>
      <c r="T21" s="124"/>
      <c r="U21" s="126">
        <v>1</v>
      </c>
      <c r="V21" s="126"/>
      <c r="W21" s="126">
        <v>7</v>
      </c>
      <c r="X21" s="126">
        <v>7</v>
      </c>
      <c r="Y21" s="126"/>
      <c r="Z21" s="124">
        <v>0</v>
      </c>
      <c r="AA21" s="126" t="s">
        <v>843</v>
      </c>
      <c r="AB21" s="124">
        <v>1</v>
      </c>
      <c r="AC21" s="126" t="s">
        <v>844</v>
      </c>
      <c r="AD21" s="124">
        <v>0</v>
      </c>
      <c r="AE21" s="126">
        <v>0</v>
      </c>
      <c r="AF21" s="124">
        <v>0</v>
      </c>
      <c r="AG21" s="126">
        <v>0</v>
      </c>
      <c r="AH21" s="126">
        <v>0</v>
      </c>
      <c r="AI21" s="126" t="s">
        <v>834</v>
      </c>
      <c r="AJ21" s="126" t="s">
        <v>834</v>
      </c>
      <c r="AK21" s="101">
        <v>36</v>
      </c>
    </row>
    <row r="22" spans="1:37" s="127" customFormat="1" ht="15.75">
      <c r="A22" s="120">
        <v>20</v>
      </c>
      <c r="B22" s="120" t="s">
        <v>101</v>
      </c>
      <c r="C22" s="128" t="s">
        <v>82</v>
      </c>
      <c r="D22" s="122" t="str">
        <f>"0404000"</f>
        <v>0404000</v>
      </c>
      <c r="E22" s="126" t="s">
        <v>87</v>
      </c>
      <c r="F22" s="121" t="s">
        <v>25</v>
      </c>
      <c r="G22" s="121" t="s">
        <v>48</v>
      </c>
      <c r="H22" s="124" t="s">
        <v>25</v>
      </c>
      <c r="I22" s="126">
        <v>10</v>
      </c>
      <c r="J22" s="126">
        <v>10</v>
      </c>
      <c r="K22" s="126">
        <v>5</v>
      </c>
      <c r="L22" s="124">
        <v>5</v>
      </c>
      <c r="M22" s="126">
        <v>2</v>
      </c>
      <c r="N22" s="126">
        <v>2</v>
      </c>
      <c r="O22" s="126">
        <v>2</v>
      </c>
      <c r="P22" s="126">
        <v>2</v>
      </c>
      <c r="Q22" s="126">
        <v>1</v>
      </c>
      <c r="R22" s="126">
        <v>1</v>
      </c>
      <c r="S22" s="126">
        <v>1</v>
      </c>
      <c r="T22" s="124"/>
      <c r="U22" s="126">
        <v>1</v>
      </c>
      <c r="V22" s="126">
        <v>1</v>
      </c>
      <c r="W22" s="126">
        <v>3</v>
      </c>
      <c r="X22" s="126">
        <v>3</v>
      </c>
      <c r="Y22" s="126">
        <v>0</v>
      </c>
      <c r="Z22" s="124">
        <v>0</v>
      </c>
      <c r="AA22" s="126">
        <v>0</v>
      </c>
      <c r="AB22" s="124">
        <v>0</v>
      </c>
      <c r="AC22" s="126">
        <v>0</v>
      </c>
      <c r="AD22" s="124">
        <v>0</v>
      </c>
      <c r="AE22" s="126">
        <v>8</v>
      </c>
      <c r="AF22" s="124">
        <v>0</v>
      </c>
      <c r="AG22" s="126">
        <v>0</v>
      </c>
      <c r="AH22" s="126">
        <v>0</v>
      </c>
      <c r="AI22" s="126" t="s">
        <v>841</v>
      </c>
      <c r="AJ22" s="126" t="s">
        <v>841</v>
      </c>
      <c r="AK22" s="101">
        <v>21</v>
      </c>
    </row>
    <row r="23" spans="1:37" s="127" customFormat="1" ht="15.75">
      <c r="A23" s="120">
        <v>21</v>
      </c>
      <c r="B23" s="120" t="s">
        <v>101</v>
      </c>
      <c r="C23" s="121" t="s">
        <v>74</v>
      </c>
      <c r="D23" s="122" t="str">
        <f>"0440025"</f>
        <v>0440025</v>
      </c>
      <c r="E23" s="123" t="s">
        <v>86</v>
      </c>
      <c r="F23" s="121" t="s">
        <v>25</v>
      </c>
      <c r="G23" s="121" t="s">
        <v>48</v>
      </c>
      <c r="H23" s="124" t="s">
        <v>25</v>
      </c>
      <c r="I23" s="126">
        <v>0</v>
      </c>
      <c r="J23" s="126"/>
      <c r="K23" s="126">
        <v>0</v>
      </c>
      <c r="L23" s="124"/>
      <c r="M23" s="126">
        <v>0</v>
      </c>
      <c r="N23" s="126"/>
      <c r="O23" s="126">
        <v>0</v>
      </c>
      <c r="P23" s="126"/>
      <c r="Q23" s="126">
        <v>0</v>
      </c>
      <c r="R23" s="126"/>
      <c r="S23" s="126">
        <v>0</v>
      </c>
      <c r="T23" s="124"/>
      <c r="U23" s="126">
        <v>0</v>
      </c>
      <c r="V23" s="126"/>
      <c r="W23" s="126">
        <v>0</v>
      </c>
      <c r="X23" s="126"/>
      <c r="Y23" s="126">
        <v>0</v>
      </c>
      <c r="Z23" s="124">
        <v>0</v>
      </c>
      <c r="AA23" s="126">
        <v>0</v>
      </c>
      <c r="AB23" s="124">
        <v>0</v>
      </c>
      <c r="AC23" s="126">
        <v>0</v>
      </c>
      <c r="AD23" s="124">
        <v>0</v>
      </c>
      <c r="AE23" s="126">
        <v>0</v>
      </c>
      <c r="AF23" s="124">
        <v>0</v>
      </c>
      <c r="AG23" s="126">
        <v>0</v>
      </c>
      <c r="AH23" s="126">
        <v>0</v>
      </c>
      <c r="AI23" s="126"/>
      <c r="AJ23" s="126"/>
      <c r="AK23" s="101">
        <v>409</v>
      </c>
    </row>
    <row r="24" spans="1:37" s="127" customFormat="1" ht="15.75">
      <c r="A24" s="120">
        <v>22</v>
      </c>
      <c r="B24" s="120" t="s">
        <v>101</v>
      </c>
      <c r="C24" s="121" t="s">
        <v>75</v>
      </c>
      <c r="D24" s="122" t="str">
        <f>"0440030"</f>
        <v>0440030</v>
      </c>
      <c r="E24" s="123" t="s">
        <v>86</v>
      </c>
      <c r="F24" s="121" t="s">
        <v>25</v>
      </c>
      <c r="G24" s="121" t="s">
        <v>48</v>
      </c>
      <c r="H24" s="124" t="s">
        <v>25</v>
      </c>
      <c r="I24" s="126">
        <v>12</v>
      </c>
      <c r="J24" s="126"/>
      <c r="K24" s="126">
        <v>20</v>
      </c>
      <c r="L24" s="124"/>
      <c r="M24" s="126">
        <v>2</v>
      </c>
      <c r="N24" s="126"/>
      <c r="O24" s="126">
        <v>5</v>
      </c>
      <c r="P24" s="126"/>
      <c r="Q24" s="126">
        <v>5</v>
      </c>
      <c r="R24" s="126"/>
      <c r="S24" s="126">
        <v>1</v>
      </c>
      <c r="T24" s="124"/>
      <c r="U24" s="126">
        <v>2</v>
      </c>
      <c r="V24" s="126"/>
      <c r="W24" s="126">
        <v>5</v>
      </c>
      <c r="X24" s="126"/>
      <c r="Y24" s="126"/>
      <c r="Z24" s="124">
        <v>0</v>
      </c>
      <c r="AA24" s="126" t="s">
        <v>845</v>
      </c>
      <c r="AB24" s="124">
        <v>0</v>
      </c>
      <c r="AC24" s="126" t="s">
        <v>846</v>
      </c>
      <c r="AD24" s="124">
        <v>0</v>
      </c>
      <c r="AE24" s="126">
        <v>2</v>
      </c>
      <c r="AF24" s="124">
        <v>0</v>
      </c>
      <c r="AG24" s="126">
        <v>0</v>
      </c>
      <c r="AH24" s="126">
        <v>0</v>
      </c>
      <c r="AI24" s="126"/>
      <c r="AJ24" s="126"/>
      <c r="AK24" s="101">
        <v>297</v>
      </c>
    </row>
    <row r="25" spans="1:37" s="127" customFormat="1" ht="15.75">
      <c r="A25" s="120">
        <v>23</v>
      </c>
      <c r="B25" s="120" t="s">
        <v>101</v>
      </c>
      <c r="C25" s="121" t="s">
        <v>83</v>
      </c>
      <c r="D25" s="122" t="str">
        <f>"0441000"</f>
        <v>0441000</v>
      </c>
      <c r="E25" s="123" t="s">
        <v>86</v>
      </c>
      <c r="F25" s="121" t="s">
        <v>25</v>
      </c>
      <c r="G25" s="121" t="s">
        <v>48</v>
      </c>
      <c r="H25" s="124" t="s">
        <v>25</v>
      </c>
      <c r="I25" s="126"/>
      <c r="J25" s="126"/>
      <c r="K25" s="126"/>
      <c r="L25" s="124"/>
      <c r="M25" s="126"/>
      <c r="N25" s="126"/>
      <c r="O25" s="126"/>
      <c r="P25" s="126"/>
      <c r="Q25" s="126"/>
      <c r="R25" s="126"/>
      <c r="S25" s="126"/>
      <c r="T25" s="124"/>
      <c r="U25" s="126"/>
      <c r="V25" s="126"/>
      <c r="W25" s="126"/>
      <c r="X25" s="126"/>
      <c r="Y25" s="126"/>
      <c r="Z25" s="124">
        <v>0</v>
      </c>
      <c r="AA25" s="126"/>
      <c r="AB25" s="124">
        <v>0</v>
      </c>
      <c r="AC25" s="126"/>
      <c r="AD25" s="124">
        <v>0</v>
      </c>
      <c r="AE25" s="126"/>
      <c r="AF25" s="124">
        <v>0</v>
      </c>
      <c r="AG25" s="126"/>
      <c r="AH25" s="126"/>
      <c r="AI25" s="126"/>
      <c r="AJ25" s="126"/>
      <c r="AK25" s="101">
        <v>277</v>
      </c>
    </row>
    <row r="26" spans="1:37" s="127" customFormat="1" ht="15.75">
      <c r="A26" s="120">
        <v>24</v>
      </c>
      <c r="B26" s="120" t="s">
        <v>101</v>
      </c>
      <c r="C26" s="121" t="s">
        <v>104</v>
      </c>
      <c r="D26" s="122" t="str">
        <f>"0451010"</f>
        <v>0451010</v>
      </c>
      <c r="E26" s="123" t="s">
        <v>23</v>
      </c>
      <c r="F26" s="121" t="s">
        <v>25</v>
      </c>
      <c r="G26" s="121" t="s">
        <v>48</v>
      </c>
      <c r="H26" s="124" t="s">
        <v>25</v>
      </c>
      <c r="I26" s="126">
        <v>0</v>
      </c>
      <c r="J26" s="126">
        <v>1</v>
      </c>
      <c r="K26" s="126">
        <v>1</v>
      </c>
      <c r="L26" s="124"/>
      <c r="M26" s="126">
        <v>0</v>
      </c>
      <c r="N26" s="126"/>
      <c r="O26" s="126">
        <v>1</v>
      </c>
      <c r="P26" s="126">
        <v>1</v>
      </c>
      <c r="Q26" s="126">
        <v>1</v>
      </c>
      <c r="R26" s="126">
        <v>1</v>
      </c>
      <c r="S26" s="126">
        <v>1</v>
      </c>
      <c r="T26" s="124"/>
      <c r="U26" s="126">
        <v>1</v>
      </c>
      <c r="V26" s="126"/>
      <c r="W26" s="126">
        <v>2</v>
      </c>
      <c r="X26" s="126">
        <v>2</v>
      </c>
      <c r="Y26" s="126">
        <v>0</v>
      </c>
      <c r="Z26" s="124">
        <v>0</v>
      </c>
      <c r="AA26" s="126">
        <v>0</v>
      </c>
      <c r="AB26" s="124">
        <v>0</v>
      </c>
      <c r="AC26" s="126">
        <v>0</v>
      </c>
      <c r="AD26" s="124">
        <v>0</v>
      </c>
      <c r="AE26" s="126">
        <v>1</v>
      </c>
      <c r="AF26" s="124">
        <v>0</v>
      </c>
      <c r="AG26" s="126">
        <v>0</v>
      </c>
      <c r="AH26" s="126">
        <v>0</v>
      </c>
      <c r="AI26" s="126"/>
      <c r="AJ26" s="126"/>
      <c r="AK26" s="101">
        <v>212</v>
      </c>
    </row>
    <row r="27" spans="1:37" s="127" customFormat="1" ht="15.75">
      <c r="A27" s="120">
        <v>25</v>
      </c>
      <c r="B27" s="120" t="s">
        <v>101</v>
      </c>
      <c r="C27" s="121" t="s">
        <v>79</v>
      </c>
      <c r="D27" s="122" t="str">
        <f>"0451015"</f>
        <v>0451015</v>
      </c>
      <c r="E27" s="123" t="s">
        <v>23</v>
      </c>
      <c r="F27" s="121" t="s">
        <v>25</v>
      </c>
      <c r="G27" s="121" t="s">
        <v>48</v>
      </c>
      <c r="H27" s="124" t="s">
        <v>25</v>
      </c>
      <c r="I27" s="126"/>
      <c r="J27" s="126"/>
      <c r="K27" s="126"/>
      <c r="L27" s="124"/>
      <c r="M27" s="126"/>
      <c r="N27" s="126"/>
      <c r="O27" s="126"/>
      <c r="P27" s="126"/>
      <c r="Q27" s="126"/>
      <c r="R27" s="126"/>
      <c r="S27" s="126"/>
      <c r="T27" s="124"/>
      <c r="U27" s="126"/>
      <c r="V27" s="126"/>
      <c r="W27" s="126"/>
      <c r="X27" s="126"/>
      <c r="Y27" s="126"/>
      <c r="Z27" s="124">
        <v>0</v>
      </c>
      <c r="AA27" s="126"/>
      <c r="AB27" s="124">
        <v>0</v>
      </c>
      <c r="AC27" s="126"/>
      <c r="AD27" s="124">
        <v>0</v>
      </c>
      <c r="AE27" s="126"/>
      <c r="AF27" s="124">
        <v>0</v>
      </c>
      <c r="AG27" s="126"/>
      <c r="AH27" s="126"/>
      <c r="AI27" s="126"/>
      <c r="AJ27" s="126"/>
      <c r="AK27" s="101">
        <v>56</v>
      </c>
    </row>
    <row r="28" spans="1:37" s="127" customFormat="1" ht="15.75">
      <c r="A28" s="120">
        <v>26</v>
      </c>
      <c r="B28" s="120" t="s">
        <v>101</v>
      </c>
      <c r="C28" s="121" t="s">
        <v>76</v>
      </c>
      <c r="D28" s="122" t="str">
        <f>"0451020"</f>
        <v>0451020</v>
      </c>
      <c r="E28" s="123" t="s">
        <v>23</v>
      </c>
      <c r="F28" s="121" t="s">
        <v>25</v>
      </c>
      <c r="G28" s="121" t="s">
        <v>48</v>
      </c>
      <c r="H28" s="124" t="s">
        <v>25</v>
      </c>
      <c r="I28" s="126"/>
      <c r="J28" s="126">
        <v>2</v>
      </c>
      <c r="K28" s="126"/>
      <c r="L28" s="124"/>
      <c r="M28" s="126"/>
      <c r="N28" s="126"/>
      <c r="O28" s="126"/>
      <c r="P28" s="126"/>
      <c r="Q28" s="126"/>
      <c r="R28" s="126"/>
      <c r="S28" s="126"/>
      <c r="T28" s="124"/>
      <c r="U28" s="126"/>
      <c r="V28" s="126"/>
      <c r="W28" s="126"/>
      <c r="X28" s="126"/>
      <c r="Y28" s="126"/>
      <c r="Z28" s="124">
        <v>0</v>
      </c>
      <c r="AA28" s="126"/>
      <c r="AB28" s="124">
        <v>0</v>
      </c>
      <c r="AC28" s="126"/>
      <c r="AD28" s="124">
        <v>0</v>
      </c>
      <c r="AE28" s="126"/>
      <c r="AF28" s="124">
        <v>0</v>
      </c>
      <c r="AG28" s="126"/>
      <c r="AH28" s="126"/>
      <c r="AI28" s="126"/>
      <c r="AJ28" s="126"/>
      <c r="AK28" s="101">
        <v>234</v>
      </c>
    </row>
    <row r="29" spans="1:37" s="127" customFormat="1" ht="15.75">
      <c r="A29" s="120">
        <v>27</v>
      </c>
      <c r="B29" s="120" t="s">
        <v>101</v>
      </c>
      <c r="C29" s="121" t="s">
        <v>77</v>
      </c>
      <c r="D29" s="122" t="str">
        <f>"0451030"</f>
        <v>0451030</v>
      </c>
      <c r="E29" s="123" t="s">
        <v>23</v>
      </c>
      <c r="F29" s="121" t="s">
        <v>25</v>
      </c>
      <c r="G29" s="121" t="s">
        <v>48</v>
      </c>
      <c r="H29" s="124" t="s">
        <v>25</v>
      </c>
      <c r="I29" s="126"/>
      <c r="J29" s="126"/>
      <c r="K29" s="126"/>
      <c r="L29" s="124"/>
      <c r="M29" s="126"/>
      <c r="N29" s="126"/>
      <c r="O29" s="126"/>
      <c r="P29" s="126"/>
      <c r="Q29" s="126"/>
      <c r="R29" s="126"/>
      <c r="S29" s="126"/>
      <c r="T29" s="124"/>
      <c r="U29" s="126"/>
      <c r="V29" s="126"/>
      <c r="W29" s="126"/>
      <c r="X29" s="126"/>
      <c r="Y29" s="126"/>
      <c r="Z29" s="124">
        <v>0</v>
      </c>
      <c r="AA29" s="126"/>
      <c r="AB29" s="124">
        <v>0</v>
      </c>
      <c r="AC29" s="126"/>
      <c r="AD29" s="124">
        <v>0</v>
      </c>
      <c r="AE29" s="126"/>
      <c r="AF29" s="124">
        <v>0</v>
      </c>
      <c r="AG29" s="126"/>
      <c r="AH29" s="126"/>
      <c r="AI29" s="126"/>
      <c r="AJ29" s="126"/>
      <c r="AK29" s="101">
        <v>195</v>
      </c>
    </row>
    <row r="30" spans="1:37" s="127" customFormat="1" ht="15.75">
      <c r="A30" s="120">
        <v>28</v>
      </c>
      <c r="B30" s="120" t="s">
        <v>101</v>
      </c>
      <c r="C30" s="121" t="s">
        <v>105</v>
      </c>
      <c r="D30" s="122" t="str">
        <f>"0451031"</f>
        <v>0451031</v>
      </c>
      <c r="E30" s="123" t="s">
        <v>23</v>
      </c>
      <c r="F30" s="121" t="s">
        <v>25</v>
      </c>
      <c r="G30" s="121" t="s">
        <v>48</v>
      </c>
      <c r="H30" s="124" t="s">
        <v>25</v>
      </c>
      <c r="I30" s="126">
        <v>0</v>
      </c>
      <c r="J30" s="126">
        <v>0</v>
      </c>
      <c r="K30" s="126">
        <v>7</v>
      </c>
      <c r="L30" s="124">
        <v>3</v>
      </c>
      <c r="M30" s="126">
        <v>1</v>
      </c>
      <c r="N30" s="126">
        <v>1</v>
      </c>
      <c r="O30" s="126">
        <v>3</v>
      </c>
      <c r="P30" s="126"/>
      <c r="Q30" s="126">
        <v>2</v>
      </c>
      <c r="R30" s="126">
        <v>1</v>
      </c>
      <c r="S30" s="126">
        <v>1</v>
      </c>
      <c r="T30" s="124"/>
      <c r="U30" s="126">
        <v>0</v>
      </c>
      <c r="V30" s="126"/>
      <c r="W30" s="126">
        <v>3</v>
      </c>
      <c r="X30" s="126">
        <v>3</v>
      </c>
      <c r="Y30" s="126">
        <v>0</v>
      </c>
      <c r="Z30" s="124">
        <v>0</v>
      </c>
      <c r="AA30" s="126">
        <v>0</v>
      </c>
      <c r="AB30" s="124">
        <v>0</v>
      </c>
      <c r="AC30" s="126">
        <v>0</v>
      </c>
      <c r="AD30" s="124">
        <v>0</v>
      </c>
      <c r="AE30" s="126">
        <v>0</v>
      </c>
      <c r="AF30" s="124">
        <v>0</v>
      </c>
      <c r="AG30" s="126">
        <v>0</v>
      </c>
      <c r="AH30" s="126">
        <v>0</v>
      </c>
      <c r="AI30" s="126" t="s">
        <v>841</v>
      </c>
      <c r="AJ30" s="126" t="s">
        <v>841</v>
      </c>
      <c r="AK30" s="101">
        <v>219</v>
      </c>
    </row>
    <row r="31" spans="1:37" s="127" customFormat="1" ht="15.75">
      <c r="A31" s="120">
        <v>29</v>
      </c>
      <c r="B31" s="120" t="s">
        <v>101</v>
      </c>
      <c r="C31" s="121" t="s">
        <v>80</v>
      </c>
      <c r="D31" s="122" t="str">
        <f>"0458010"</f>
        <v>0458010</v>
      </c>
      <c r="E31" s="123" t="s">
        <v>23</v>
      </c>
      <c r="F31" s="121" t="s">
        <v>25</v>
      </c>
      <c r="G31" s="121" t="s">
        <v>48</v>
      </c>
      <c r="H31" s="126" t="s">
        <v>52</v>
      </c>
      <c r="I31" s="126"/>
      <c r="J31" s="126"/>
      <c r="K31" s="126">
        <v>1</v>
      </c>
      <c r="L31" s="124">
        <v>1</v>
      </c>
      <c r="M31" s="126">
        <v>1</v>
      </c>
      <c r="N31" s="126">
        <v>1</v>
      </c>
      <c r="O31" s="126">
        <v>0</v>
      </c>
      <c r="P31" s="126"/>
      <c r="Q31" s="126">
        <v>0</v>
      </c>
      <c r="R31" s="126"/>
      <c r="S31" s="126">
        <v>0</v>
      </c>
      <c r="T31" s="124"/>
      <c r="U31" s="126">
        <v>0</v>
      </c>
      <c r="V31" s="126"/>
      <c r="W31" s="126">
        <v>0</v>
      </c>
      <c r="X31" s="126">
        <v>0</v>
      </c>
      <c r="Y31" s="126">
        <v>0</v>
      </c>
      <c r="Z31" s="124">
        <v>0</v>
      </c>
      <c r="AA31" s="126">
        <v>1</v>
      </c>
      <c r="AB31" s="124">
        <v>1</v>
      </c>
      <c r="AC31" s="126">
        <v>0</v>
      </c>
      <c r="AD31" s="124">
        <v>0</v>
      </c>
      <c r="AE31" s="126">
        <v>1</v>
      </c>
      <c r="AF31" s="124">
        <v>0</v>
      </c>
      <c r="AG31" s="126">
        <v>0</v>
      </c>
      <c r="AH31" s="126">
        <v>0</v>
      </c>
      <c r="AI31" s="126" t="s">
        <v>841</v>
      </c>
      <c r="AJ31" s="126" t="s">
        <v>841</v>
      </c>
      <c r="AK31" s="101">
        <v>64</v>
      </c>
    </row>
    <row r="32" spans="1:37" s="127" customFormat="1" ht="15.75">
      <c r="A32" s="120">
        <v>30</v>
      </c>
      <c r="B32" s="120" t="s">
        <v>101</v>
      </c>
      <c r="C32" s="121" t="s">
        <v>81</v>
      </c>
      <c r="D32" s="122" t="str">
        <f>"0454010"</f>
        <v>0454010</v>
      </c>
      <c r="E32" s="123" t="s">
        <v>23</v>
      </c>
      <c r="F32" s="121" t="s">
        <v>25</v>
      </c>
      <c r="G32" s="121" t="s">
        <v>49</v>
      </c>
      <c r="H32" s="126" t="s">
        <v>53</v>
      </c>
      <c r="I32" s="126"/>
      <c r="J32" s="126"/>
      <c r="K32" s="126">
        <v>1</v>
      </c>
      <c r="L32" s="124">
        <v>1</v>
      </c>
      <c r="M32" s="126">
        <v>1</v>
      </c>
      <c r="N32" s="126">
        <v>1</v>
      </c>
      <c r="O32" s="126">
        <v>1</v>
      </c>
      <c r="P32" s="126"/>
      <c r="Q32" s="126">
        <v>1</v>
      </c>
      <c r="R32" s="126">
        <v>1</v>
      </c>
      <c r="S32" s="126">
        <v>0</v>
      </c>
      <c r="T32" s="124"/>
      <c r="U32" s="126">
        <v>0</v>
      </c>
      <c r="V32" s="126"/>
      <c r="W32" s="126">
        <v>1</v>
      </c>
      <c r="X32" s="126">
        <v>1</v>
      </c>
      <c r="Y32" s="126"/>
      <c r="Z32" s="124">
        <v>0</v>
      </c>
      <c r="AA32" s="126">
        <v>0</v>
      </c>
      <c r="AB32" s="124">
        <v>0</v>
      </c>
      <c r="AC32" s="126">
        <v>0</v>
      </c>
      <c r="AD32" s="124">
        <v>0</v>
      </c>
      <c r="AE32" s="126">
        <v>5</v>
      </c>
      <c r="AF32" s="124">
        <v>0</v>
      </c>
      <c r="AG32" s="126">
        <v>0</v>
      </c>
      <c r="AH32" s="126">
        <v>0</v>
      </c>
      <c r="AI32" s="126" t="s">
        <v>841</v>
      </c>
      <c r="AJ32" s="126" t="s">
        <v>841</v>
      </c>
      <c r="AK32" s="101">
        <v>11</v>
      </c>
    </row>
    <row r="33" spans="1:37" s="127" customFormat="1" ht="15.75">
      <c r="A33" s="120">
        <v>31</v>
      </c>
      <c r="B33" s="120" t="s">
        <v>101</v>
      </c>
      <c r="C33" s="121" t="s">
        <v>46</v>
      </c>
      <c r="D33" s="122" t="str">
        <f>"0462010"</f>
        <v>0462010</v>
      </c>
      <c r="E33" s="123" t="s">
        <v>23</v>
      </c>
      <c r="F33" s="121" t="s">
        <v>25</v>
      </c>
      <c r="G33" s="121" t="s">
        <v>49</v>
      </c>
      <c r="H33" s="126" t="s">
        <v>58</v>
      </c>
      <c r="I33" s="126">
        <v>3</v>
      </c>
      <c r="J33" s="126">
        <v>1</v>
      </c>
      <c r="K33" s="126">
        <v>2</v>
      </c>
      <c r="L33" s="124">
        <v>1</v>
      </c>
      <c r="M33" s="126">
        <v>1</v>
      </c>
      <c r="N33" s="126">
        <v>1</v>
      </c>
      <c r="O33" s="126">
        <v>1</v>
      </c>
      <c r="P33" s="126"/>
      <c r="Q33" s="126">
        <v>0</v>
      </c>
      <c r="R33" s="126"/>
      <c r="S33" s="126">
        <v>0</v>
      </c>
      <c r="T33" s="124"/>
      <c r="U33" s="126">
        <v>1</v>
      </c>
      <c r="V33" s="126">
        <v>1</v>
      </c>
      <c r="W33" s="126">
        <v>0</v>
      </c>
      <c r="X33" s="126">
        <v>0</v>
      </c>
      <c r="Y33" s="126">
        <v>0</v>
      </c>
      <c r="Z33" s="124">
        <v>0</v>
      </c>
      <c r="AA33" s="126" t="s">
        <v>847</v>
      </c>
      <c r="AB33" s="124">
        <v>1</v>
      </c>
      <c r="AC33" s="126" t="s">
        <v>847</v>
      </c>
      <c r="AD33" s="124">
        <v>1</v>
      </c>
      <c r="AE33" s="126">
        <v>0</v>
      </c>
      <c r="AF33" s="124">
        <v>0</v>
      </c>
      <c r="AG33" s="126">
        <v>0</v>
      </c>
      <c r="AH33" s="126">
        <v>0</v>
      </c>
      <c r="AI33" s="126"/>
      <c r="AJ33" s="126"/>
      <c r="AK33" s="101">
        <v>17</v>
      </c>
    </row>
    <row r="34" spans="1:37" s="127" customFormat="1" ht="15.75">
      <c r="A34" s="120">
        <v>32</v>
      </c>
      <c r="B34" s="120" t="s">
        <v>101</v>
      </c>
      <c r="C34" s="121" t="s">
        <v>78</v>
      </c>
      <c r="D34" s="122" t="str">
        <f>"0453010"</f>
        <v>0453010</v>
      </c>
      <c r="E34" s="123" t="s">
        <v>23</v>
      </c>
      <c r="F34" s="121" t="s">
        <v>25</v>
      </c>
      <c r="G34" s="121" t="s">
        <v>50</v>
      </c>
      <c r="H34" s="124" t="s">
        <v>25</v>
      </c>
      <c r="I34" s="126"/>
      <c r="J34" s="126"/>
      <c r="K34" s="126">
        <v>1</v>
      </c>
      <c r="L34" s="124">
        <v>1</v>
      </c>
      <c r="M34" s="126">
        <v>1</v>
      </c>
      <c r="N34" s="126">
        <v>1</v>
      </c>
      <c r="O34" s="126">
        <v>0</v>
      </c>
      <c r="P34" s="126"/>
      <c r="Q34" s="126">
        <v>1</v>
      </c>
      <c r="R34" s="126">
        <v>1</v>
      </c>
      <c r="S34" s="126">
        <v>0</v>
      </c>
      <c r="T34" s="124"/>
      <c r="U34" s="126">
        <v>0</v>
      </c>
      <c r="V34" s="126"/>
      <c r="W34" s="126">
        <v>0</v>
      </c>
      <c r="X34" s="126">
        <v>0</v>
      </c>
      <c r="Y34" s="126">
        <v>0</v>
      </c>
      <c r="Z34" s="124">
        <v>0</v>
      </c>
      <c r="AA34" s="126">
        <v>0</v>
      </c>
      <c r="AB34" s="124">
        <v>0</v>
      </c>
      <c r="AC34" s="126">
        <v>0</v>
      </c>
      <c r="AD34" s="124">
        <v>0</v>
      </c>
      <c r="AE34" s="126">
        <v>2</v>
      </c>
      <c r="AF34" s="124">
        <v>0</v>
      </c>
      <c r="AG34" s="126">
        <v>0</v>
      </c>
      <c r="AH34" s="126">
        <v>0</v>
      </c>
      <c r="AI34" s="126" t="s">
        <v>834</v>
      </c>
      <c r="AJ34" s="126" t="s">
        <v>834</v>
      </c>
      <c r="AK34" s="101">
        <v>15</v>
      </c>
    </row>
    <row r="35" spans="1:37" s="127" customFormat="1" ht="15.75">
      <c r="A35" s="120">
        <v>33</v>
      </c>
      <c r="B35" s="120" t="s">
        <v>101</v>
      </c>
      <c r="C35" s="121" t="s">
        <v>47</v>
      </c>
      <c r="D35" s="122" t="str">
        <f>"0456010"</f>
        <v>0456010</v>
      </c>
      <c r="E35" s="123" t="s">
        <v>23</v>
      </c>
      <c r="F35" s="121" t="s">
        <v>25</v>
      </c>
      <c r="G35" s="121" t="s">
        <v>51</v>
      </c>
      <c r="H35" s="126" t="s">
        <v>59</v>
      </c>
      <c r="I35" s="126">
        <v>13</v>
      </c>
      <c r="J35" s="126">
        <v>2</v>
      </c>
      <c r="K35" s="126">
        <v>7</v>
      </c>
      <c r="L35" s="124">
        <v>2</v>
      </c>
      <c r="M35" s="126">
        <v>2</v>
      </c>
      <c r="N35" s="126">
        <v>1</v>
      </c>
      <c r="O35" s="126">
        <v>3</v>
      </c>
      <c r="P35" s="126"/>
      <c r="Q35" s="126">
        <v>2</v>
      </c>
      <c r="R35" s="126">
        <v>1</v>
      </c>
      <c r="S35" s="126">
        <v>1</v>
      </c>
      <c r="T35" s="124"/>
      <c r="U35" s="126">
        <v>2</v>
      </c>
      <c r="V35" s="126"/>
      <c r="W35" s="126">
        <v>7</v>
      </c>
      <c r="X35" s="126">
        <v>7</v>
      </c>
      <c r="Y35" s="126">
        <v>1</v>
      </c>
      <c r="Z35" s="124">
        <v>1</v>
      </c>
      <c r="AA35" s="126">
        <v>0</v>
      </c>
      <c r="AB35" s="124">
        <v>0</v>
      </c>
      <c r="AC35" s="126">
        <v>0</v>
      </c>
      <c r="AD35" s="124">
        <v>0</v>
      </c>
      <c r="AE35" s="126">
        <v>4</v>
      </c>
      <c r="AF35" s="124">
        <v>0</v>
      </c>
      <c r="AG35" s="126">
        <v>0</v>
      </c>
      <c r="AH35" s="126">
        <v>0</v>
      </c>
      <c r="AI35" s="126"/>
      <c r="AJ35" s="126"/>
      <c r="AK35" s="101">
        <v>105</v>
      </c>
    </row>
    <row r="36" spans="1:37" s="127" customFormat="1" ht="15.75">
      <c r="A36" s="120">
        <v>34</v>
      </c>
      <c r="B36" s="120" t="s">
        <v>101</v>
      </c>
      <c r="C36" s="121" t="s">
        <v>88</v>
      </c>
      <c r="D36" s="122" t="str">
        <f>"0457010"</f>
        <v>0457010</v>
      </c>
      <c r="E36" s="123" t="s">
        <v>23</v>
      </c>
      <c r="F36" s="121" t="s">
        <v>25</v>
      </c>
      <c r="G36" s="121" t="s">
        <v>51</v>
      </c>
      <c r="H36" s="126" t="s">
        <v>55</v>
      </c>
      <c r="I36" s="126">
        <v>12</v>
      </c>
      <c r="J36" s="126">
        <v>2</v>
      </c>
      <c r="K36" s="126">
        <v>12</v>
      </c>
      <c r="L36" s="124">
        <v>2</v>
      </c>
      <c r="M36" s="126">
        <v>4</v>
      </c>
      <c r="N36" s="126">
        <v>1</v>
      </c>
      <c r="O36" s="126">
        <v>1</v>
      </c>
      <c r="P36" s="126"/>
      <c r="Q36" s="126">
        <v>3</v>
      </c>
      <c r="R36" s="126">
        <v>1</v>
      </c>
      <c r="S36" s="126">
        <v>2</v>
      </c>
      <c r="T36" s="124"/>
      <c r="U36" s="126">
        <v>2</v>
      </c>
      <c r="V36" s="126"/>
      <c r="W36" s="126">
        <v>5</v>
      </c>
      <c r="X36" s="126">
        <v>5</v>
      </c>
      <c r="Y36" s="126">
        <v>1</v>
      </c>
      <c r="Z36" s="124">
        <v>1</v>
      </c>
      <c r="AA36" s="126">
        <v>0</v>
      </c>
      <c r="AB36" s="124">
        <v>0</v>
      </c>
      <c r="AC36" s="126">
        <v>0</v>
      </c>
      <c r="AD36" s="124">
        <v>0</v>
      </c>
      <c r="AE36" s="126">
        <v>0</v>
      </c>
      <c r="AF36" s="124">
        <v>0</v>
      </c>
      <c r="AG36" s="126">
        <v>0</v>
      </c>
      <c r="AH36" s="126">
        <v>0</v>
      </c>
      <c r="AI36" s="126"/>
      <c r="AJ36" s="126"/>
      <c r="AK36" s="101">
        <v>45</v>
      </c>
    </row>
    <row r="37" spans="1:37" s="127" customFormat="1" ht="15.75">
      <c r="A37" s="120">
        <v>35</v>
      </c>
      <c r="B37" s="129" t="s">
        <v>219</v>
      </c>
      <c r="C37" s="129" t="s">
        <v>106</v>
      </c>
      <c r="D37" s="122" t="str">
        <f>"1801010"</f>
        <v>1801010</v>
      </c>
      <c r="E37" s="123" t="s">
        <v>22</v>
      </c>
      <c r="F37" s="126" t="s">
        <v>26</v>
      </c>
      <c r="G37" s="123" t="s">
        <v>129</v>
      </c>
      <c r="H37" s="126" t="s">
        <v>129</v>
      </c>
      <c r="I37" s="126">
        <v>3</v>
      </c>
      <c r="J37" s="126">
        <v>1</v>
      </c>
      <c r="K37" s="126">
        <v>3</v>
      </c>
      <c r="L37" s="124">
        <v>1</v>
      </c>
      <c r="M37" s="126">
        <v>0</v>
      </c>
      <c r="N37" s="126"/>
      <c r="O37" s="126">
        <v>0</v>
      </c>
      <c r="P37" s="126"/>
      <c r="Q37" s="126">
        <v>1</v>
      </c>
      <c r="R37" s="126"/>
      <c r="S37" s="126">
        <v>1</v>
      </c>
      <c r="T37" s="124"/>
      <c r="U37" s="126">
        <v>1</v>
      </c>
      <c r="V37" s="126"/>
      <c r="W37" s="126">
        <v>5</v>
      </c>
      <c r="X37" s="126">
        <v>5</v>
      </c>
      <c r="Y37" s="126">
        <v>1</v>
      </c>
      <c r="Z37" s="124">
        <v>1</v>
      </c>
      <c r="AA37" s="126">
        <v>0</v>
      </c>
      <c r="AB37" s="124">
        <v>0</v>
      </c>
      <c r="AC37" s="126">
        <v>0</v>
      </c>
      <c r="AD37" s="124">
        <v>0</v>
      </c>
      <c r="AE37" s="126">
        <v>0</v>
      </c>
      <c r="AF37" s="124">
        <v>0</v>
      </c>
      <c r="AG37" s="126">
        <v>0</v>
      </c>
      <c r="AH37" s="126">
        <v>0</v>
      </c>
      <c r="AI37" s="126"/>
      <c r="AJ37" s="126"/>
      <c r="AK37" s="107">
        <v>178</v>
      </c>
    </row>
    <row r="38" spans="1:37" s="127" customFormat="1" ht="15.75">
      <c r="A38" s="120">
        <v>36</v>
      </c>
      <c r="B38" s="129" t="s">
        <v>219</v>
      </c>
      <c r="C38" s="129" t="s">
        <v>108</v>
      </c>
      <c r="D38" s="122" t="str">
        <f>"1801011"</f>
        <v>1801011</v>
      </c>
      <c r="E38" s="123" t="s">
        <v>22</v>
      </c>
      <c r="F38" s="126" t="s">
        <v>26</v>
      </c>
      <c r="G38" s="123" t="s">
        <v>129</v>
      </c>
      <c r="H38" s="126" t="s">
        <v>129</v>
      </c>
      <c r="I38" s="126">
        <v>5</v>
      </c>
      <c r="J38" s="126">
        <v>2</v>
      </c>
      <c r="K38" s="126">
        <v>3</v>
      </c>
      <c r="L38" s="124">
        <v>1</v>
      </c>
      <c r="M38" s="126">
        <v>2</v>
      </c>
      <c r="N38" s="126">
        <v>1</v>
      </c>
      <c r="O38" s="126">
        <v>2</v>
      </c>
      <c r="P38" s="126"/>
      <c r="Q38" s="126">
        <v>1</v>
      </c>
      <c r="R38" s="126"/>
      <c r="S38" s="126">
        <v>1</v>
      </c>
      <c r="T38" s="124"/>
      <c r="U38" s="126">
        <v>0</v>
      </c>
      <c r="V38" s="126"/>
      <c r="W38" s="126">
        <v>1</v>
      </c>
      <c r="X38" s="126">
        <v>1</v>
      </c>
      <c r="Y38" s="126">
        <v>0</v>
      </c>
      <c r="Z38" s="124">
        <v>0</v>
      </c>
      <c r="AA38" s="126">
        <v>0</v>
      </c>
      <c r="AB38" s="124">
        <v>0</v>
      </c>
      <c r="AC38" s="126">
        <v>0</v>
      </c>
      <c r="AD38" s="124">
        <v>0</v>
      </c>
      <c r="AE38" s="126">
        <v>3</v>
      </c>
      <c r="AF38" s="124">
        <v>0</v>
      </c>
      <c r="AG38" s="126">
        <v>0</v>
      </c>
      <c r="AH38" s="126">
        <v>0</v>
      </c>
      <c r="AI38" s="126"/>
      <c r="AJ38" s="126"/>
      <c r="AK38" s="107">
        <v>148</v>
      </c>
    </row>
    <row r="39" spans="1:37" s="127" customFormat="1" ht="15.75">
      <c r="A39" s="120">
        <v>37</v>
      </c>
      <c r="B39" s="129" t="s">
        <v>219</v>
      </c>
      <c r="C39" s="129" t="s">
        <v>109</v>
      </c>
      <c r="D39" s="122" t="str">
        <f>"1801012"</f>
        <v>1801012</v>
      </c>
      <c r="E39" s="123" t="s">
        <v>22</v>
      </c>
      <c r="F39" s="126" t="s">
        <v>26</v>
      </c>
      <c r="G39" s="123" t="s">
        <v>129</v>
      </c>
      <c r="H39" s="126" t="s">
        <v>129</v>
      </c>
      <c r="I39" s="126"/>
      <c r="J39" s="126"/>
      <c r="K39" s="126">
        <v>1</v>
      </c>
      <c r="L39" s="124">
        <v>1</v>
      </c>
      <c r="M39" s="126">
        <v>1</v>
      </c>
      <c r="N39" s="126">
        <v>1</v>
      </c>
      <c r="O39" s="126">
        <v>2</v>
      </c>
      <c r="P39" s="126"/>
      <c r="Q39" s="126">
        <v>1</v>
      </c>
      <c r="R39" s="126"/>
      <c r="S39" s="126">
        <v>1</v>
      </c>
      <c r="T39" s="124"/>
      <c r="U39" s="126">
        <v>0</v>
      </c>
      <c r="V39" s="126"/>
      <c r="W39" s="126">
        <v>1</v>
      </c>
      <c r="X39" s="126">
        <v>1</v>
      </c>
      <c r="Y39" s="126">
        <v>0</v>
      </c>
      <c r="Z39" s="124">
        <v>0</v>
      </c>
      <c r="AA39" s="126" t="s">
        <v>848</v>
      </c>
      <c r="AB39" s="124">
        <v>1</v>
      </c>
      <c r="AC39" s="126" t="s">
        <v>849</v>
      </c>
      <c r="AD39" s="124">
        <v>1</v>
      </c>
      <c r="AE39" s="126">
        <v>0</v>
      </c>
      <c r="AF39" s="124">
        <v>0</v>
      </c>
      <c r="AG39" s="126">
        <v>0</v>
      </c>
      <c r="AH39" s="126">
        <v>0</v>
      </c>
      <c r="AI39" s="126" t="s">
        <v>834</v>
      </c>
      <c r="AJ39" s="126" t="s">
        <v>834</v>
      </c>
      <c r="AK39" s="107">
        <v>141</v>
      </c>
    </row>
    <row r="40" spans="1:37" s="127" customFormat="1" ht="15.75">
      <c r="A40" s="120">
        <v>38</v>
      </c>
      <c r="B40" s="129" t="s">
        <v>219</v>
      </c>
      <c r="C40" s="129" t="s">
        <v>111</v>
      </c>
      <c r="D40" s="122" t="str">
        <f>"1801015"</f>
        <v>1801015</v>
      </c>
      <c r="E40" s="123" t="s">
        <v>22</v>
      </c>
      <c r="F40" s="126" t="s">
        <v>26</v>
      </c>
      <c r="G40" s="123" t="s">
        <v>129</v>
      </c>
      <c r="H40" s="126" t="s">
        <v>129</v>
      </c>
      <c r="I40" s="126">
        <v>0</v>
      </c>
      <c r="J40" s="126">
        <v>0</v>
      </c>
      <c r="K40" s="126">
        <v>1</v>
      </c>
      <c r="L40" s="124">
        <v>1</v>
      </c>
      <c r="M40" s="126">
        <v>5</v>
      </c>
      <c r="N40" s="126">
        <v>1</v>
      </c>
      <c r="O40" s="126">
        <v>5</v>
      </c>
      <c r="P40" s="126"/>
      <c r="Q40" s="126">
        <v>0</v>
      </c>
      <c r="R40" s="126"/>
      <c r="S40" s="126">
        <v>0</v>
      </c>
      <c r="T40" s="124"/>
      <c r="U40" s="126">
        <v>3</v>
      </c>
      <c r="V40" s="126">
        <v>1</v>
      </c>
      <c r="W40" s="126">
        <v>5</v>
      </c>
      <c r="X40" s="126">
        <v>5</v>
      </c>
      <c r="Y40" s="126">
        <v>0</v>
      </c>
      <c r="Z40" s="124">
        <v>0</v>
      </c>
      <c r="AA40" s="126">
        <v>0</v>
      </c>
      <c r="AB40" s="124">
        <v>0</v>
      </c>
      <c r="AC40" s="126">
        <v>0</v>
      </c>
      <c r="AD40" s="124">
        <v>0</v>
      </c>
      <c r="AE40" s="126">
        <v>0</v>
      </c>
      <c r="AF40" s="124">
        <v>0</v>
      </c>
      <c r="AG40" s="126">
        <v>0</v>
      </c>
      <c r="AH40" s="126">
        <v>0</v>
      </c>
      <c r="AI40" s="126" t="s">
        <v>841</v>
      </c>
      <c r="AJ40" s="126" t="s">
        <v>841</v>
      </c>
      <c r="AK40" s="107">
        <v>24</v>
      </c>
    </row>
    <row r="41" spans="1:37" s="127" customFormat="1" ht="15.75">
      <c r="A41" s="120">
        <v>39</v>
      </c>
      <c r="B41" s="129" t="s">
        <v>219</v>
      </c>
      <c r="C41" s="129" t="s">
        <v>118</v>
      </c>
      <c r="D41" s="122" t="str">
        <f>"1802050"</f>
        <v>1802050</v>
      </c>
      <c r="E41" s="123" t="s">
        <v>22</v>
      </c>
      <c r="F41" s="126" t="s">
        <v>26</v>
      </c>
      <c r="G41" s="123" t="s">
        <v>129</v>
      </c>
      <c r="H41" s="126" t="s">
        <v>137</v>
      </c>
      <c r="I41" s="126">
        <v>0</v>
      </c>
      <c r="J41" s="126">
        <v>0</v>
      </c>
      <c r="K41" s="126">
        <v>1</v>
      </c>
      <c r="L41" s="124">
        <v>1</v>
      </c>
      <c r="M41" s="126">
        <v>0</v>
      </c>
      <c r="N41" s="126"/>
      <c r="O41" s="126">
        <v>3</v>
      </c>
      <c r="P41" s="126">
        <v>1</v>
      </c>
      <c r="Q41" s="126">
        <v>4</v>
      </c>
      <c r="R41" s="126">
        <v>1</v>
      </c>
      <c r="S41" s="126">
        <v>1</v>
      </c>
      <c r="T41" s="124"/>
      <c r="U41" s="126">
        <v>1</v>
      </c>
      <c r="V41" s="126"/>
      <c r="W41" s="126">
        <v>4</v>
      </c>
      <c r="X41" s="126">
        <v>4</v>
      </c>
      <c r="Y41" s="126"/>
      <c r="Z41" s="124">
        <v>0</v>
      </c>
      <c r="AA41" s="126" t="s">
        <v>850</v>
      </c>
      <c r="AB41" s="124">
        <v>1</v>
      </c>
      <c r="AC41" s="126" t="s">
        <v>851</v>
      </c>
      <c r="AD41" s="124">
        <v>1</v>
      </c>
      <c r="AE41" s="126">
        <v>4</v>
      </c>
      <c r="AF41" s="124">
        <v>0</v>
      </c>
      <c r="AG41" s="126">
        <v>0</v>
      </c>
      <c r="AH41" s="126">
        <v>0</v>
      </c>
      <c r="AI41" s="126" t="s">
        <v>841</v>
      </c>
      <c r="AJ41" s="126" t="s">
        <v>841</v>
      </c>
      <c r="AK41" s="107">
        <v>54</v>
      </c>
    </row>
    <row r="42" spans="1:37" s="127" customFormat="1" ht="15.75">
      <c r="A42" s="120">
        <v>40</v>
      </c>
      <c r="B42" s="129" t="s">
        <v>219</v>
      </c>
      <c r="C42" s="129" t="s">
        <v>113</v>
      </c>
      <c r="D42" s="122" t="str">
        <f>"1804010"</f>
        <v>1804010</v>
      </c>
      <c r="E42" s="123" t="s">
        <v>22</v>
      </c>
      <c r="F42" s="126" t="s">
        <v>26</v>
      </c>
      <c r="G42" s="123" t="s">
        <v>129</v>
      </c>
      <c r="H42" s="126" t="s">
        <v>133</v>
      </c>
      <c r="I42" s="126">
        <v>0</v>
      </c>
      <c r="J42" s="126">
        <v>0</v>
      </c>
      <c r="K42" s="126">
        <v>1</v>
      </c>
      <c r="L42" s="124">
        <v>1</v>
      </c>
      <c r="M42" s="126">
        <v>1</v>
      </c>
      <c r="N42" s="126">
        <v>1</v>
      </c>
      <c r="O42" s="126">
        <v>0</v>
      </c>
      <c r="P42" s="126"/>
      <c r="Q42" s="126">
        <v>1</v>
      </c>
      <c r="R42" s="126">
        <v>1</v>
      </c>
      <c r="S42" s="126">
        <v>0</v>
      </c>
      <c r="T42" s="124"/>
      <c r="U42" s="126">
        <v>0</v>
      </c>
      <c r="V42" s="126"/>
      <c r="W42" s="126">
        <v>1</v>
      </c>
      <c r="X42" s="126">
        <v>1</v>
      </c>
      <c r="Y42" s="126"/>
      <c r="Z42" s="124">
        <v>0</v>
      </c>
      <c r="AA42" s="126">
        <v>0</v>
      </c>
      <c r="AB42" s="124">
        <v>0</v>
      </c>
      <c r="AC42" s="126">
        <v>0</v>
      </c>
      <c r="AD42" s="124">
        <v>0</v>
      </c>
      <c r="AE42" s="126">
        <v>0</v>
      </c>
      <c r="AF42" s="124">
        <v>0</v>
      </c>
      <c r="AG42" s="126">
        <v>0</v>
      </c>
      <c r="AH42" s="126">
        <v>0</v>
      </c>
      <c r="AI42" s="126" t="s">
        <v>834</v>
      </c>
      <c r="AJ42" s="126" t="s">
        <v>834</v>
      </c>
      <c r="AK42" s="107">
        <v>8</v>
      </c>
    </row>
    <row r="43" spans="1:37" s="127" customFormat="1" ht="15.75">
      <c r="A43" s="120">
        <v>41</v>
      </c>
      <c r="B43" s="129" t="s">
        <v>219</v>
      </c>
      <c r="C43" s="129" t="s">
        <v>117</v>
      </c>
      <c r="D43" s="122" t="str">
        <f>"1804090"</f>
        <v>1804090</v>
      </c>
      <c r="E43" s="123" t="s">
        <v>22</v>
      </c>
      <c r="F43" s="126" t="s">
        <v>26</v>
      </c>
      <c r="G43" s="123" t="s">
        <v>129</v>
      </c>
      <c r="H43" s="126" t="s">
        <v>136</v>
      </c>
      <c r="I43" s="126">
        <v>5</v>
      </c>
      <c r="J43" s="126">
        <v>2</v>
      </c>
      <c r="K43" s="126">
        <v>0</v>
      </c>
      <c r="L43" s="124"/>
      <c r="M43" s="126">
        <v>3</v>
      </c>
      <c r="N43" s="126">
        <v>1</v>
      </c>
      <c r="O43" s="126">
        <v>2</v>
      </c>
      <c r="P43" s="126"/>
      <c r="Q43" s="126">
        <v>1</v>
      </c>
      <c r="R43" s="126">
        <v>1</v>
      </c>
      <c r="S43" s="126">
        <v>0</v>
      </c>
      <c r="T43" s="124"/>
      <c r="U43" s="126">
        <v>1</v>
      </c>
      <c r="V43" s="126"/>
      <c r="W43" s="126">
        <v>0</v>
      </c>
      <c r="X43" s="126">
        <v>0</v>
      </c>
      <c r="Y43" s="126">
        <v>0</v>
      </c>
      <c r="Z43" s="124">
        <v>0</v>
      </c>
      <c r="AA43" s="126">
        <v>0</v>
      </c>
      <c r="AB43" s="124">
        <v>0</v>
      </c>
      <c r="AC43" s="126">
        <v>0</v>
      </c>
      <c r="AD43" s="124">
        <v>0</v>
      </c>
      <c r="AE43" s="126">
        <v>0</v>
      </c>
      <c r="AF43" s="124">
        <v>0</v>
      </c>
      <c r="AG43" s="126">
        <v>0</v>
      </c>
      <c r="AH43" s="126">
        <v>0</v>
      </c>
      <c r="AI43" s="126"/>
      <c r="AJ43" s="126"/>
      <c r="AK43" s="107">
        <v>30</v>
      </c>
    </row>
    <row r="44" spans="1:37" s="127" customFormat="1" ht="15.75">
      <c r="A44" s="120">
        <v>42</v>
      </c>
      <c r="B44" s="129" t="s">
        <v>219</v>
      </c>
      <c r="C44" s="129" t="s">
        <v>114</v>
      </c>
      <c r="D44" s="122" t="str">
        <f>"1807010"</f>
        <v>1807010</v>
      </c>
      <c r="E44" s="123" t="s">
        <v>22</v>
      </c>
      <c r="F44" s="126" t="s">
        <v>26</v>
      </c>
      <c r="G44" s="123" t="s">
        <v>129</v>
      </c>
      <c r="H44" s="126" t="s">
        <v>138</v>
      </c>
      <c r="I44" s="126">
        <v>0</v>
      </c>
      <c r="J44" s="126">
        <v>0</v>
      </c>
      <c r="K44" s="126">
        <v>1</v>
      </c>
      <c r="L44" s="124">
        <v>1</v>
      </c>
      <c r="M44" s="126">
        <v>1</v>
      </c>
      <c r="N44" s="126">
        <v>1</v>
      </c>
      <c r="O44" s="126">
        <v>0</v>
      </c>
      <c r="P44" s="126"/>
      <c r="Q44" s="126">
        <v>1</v>
      </c>
      <c r="R44" s="126">
        <v>1</v>
      </c>
      <c r="S44" s="126">
        <v>0</v>
      </c>
      <c r="T44" s="124"/>
      <c r="U44" s="126">
        <v>0</v>
      </c>
      <c r="V44" s="126"/>
      <c r="W44" s="126">
        <v>0</v>
      </c>
      <c r="X44" s="126">
        <v>0</v>
      </c>
      <c r="Y44" s="126"/>
      <c r="Z44" s="124">
        <v>0</v>
      </c>
      <c r="AA44" s="126">
        <v>0</v>
      </c>
      <c r="AB44" s="124">
        <v>0</v>
      </c>
      <c r="AC44" s="126">
        <v>0</v>
      </c>
      <c r="AD44" s="124">
        <v>0</v>
      </c>
      <c r="AE44" s="126">
        <v>0</v>
      </c>
      <c r="AF44" s="124">
        <v>0</v>
      </c>
      <c r="AG44" s="126">
        <v>0</v>
      </c>
      <c r="AH44" s="126">
        <v>0</v>
      </c>
      <c r="AI44" s="126" t="s">
        <v>841</v>
      </c>
      <c r="AJ44" s="126" t="s">
        <v>841</v>
      </c>
      <c r="AK44" s="107">
        <v>132</v>
      </c>
    </row>
    <row r="45" spans="1:37" s="127" customFormat="1" ht="15.75">
      <c r="A45" s="120">
        <v>43</v>
      </c>
      <c r="B45" s="129" t="s">
        <v>219</v>
      </c>
      <c r="C45" s="129" t="s">
        <v>119</v>
      </c>
      <c r="D45" s="122" t="str">
        <f>"1809000"</f>
        <v>1809000</v>
      </c>
      <c r="E45" s="123" t="s">
        <v>22</v>
      </c>
      <c r="F45" s="126" t="s">
        <v>26</v>
      </c>
      <c r="G45" s="123" t="s">
        <v>129</v>
      </c>
      <c r="H45" s="126" t="s">
        <v>141</v>
      </c>
      <c r="I45" s="126"/>
      <c r="J45" s="126"/>
      <c r="K45" s="126">
        <v>0</v>
      </c>
      <c r="L45" s="124"/>
      <c r="M45" s="126">
        <v>2</v>
      </c>
      <c r="N45" s="126">
        <v>1</v>
      </c>
      <c r="O45" s="126">
        <v>0</v>
      </c>
      <c r="P45" s="126"/>
      <c r="Q45" s="126">
        <v>1</v>
      </c>
      <c r="R45" s="126">
        <v>1</v>
      </c>
      <c r="S45" s="126">
        <v>0</v>
      </c>
      <c r="T45" s="124"/>
      <c r="U45" s="126">
        <v>1</v>
      </c>
      <c r="V45" s="126"/>
      <c r="W45" s="126">
        <v>1</v>
      </c>
      <c r="X45" s="126">
        <v>1</v>
      </c>
      <c r="Y45" s="126"/>
      <c r="Z45" s="124">
        <v>0</v>
      </c>
      <c r="AA45" s="126">
        <v>0</v>
      </c>
      <c r="AB45" s="124">
        <v>0</v>
      </c>
      <c r="AC45" s="126">
        <v>0</v>
      </c>
      <c r="AD45" s="124">
        <v>0</v>
      </c>
      <c r="AE45" s="126">
        <v>0</v>
      </c>
      <c r="AF45" s="124">
        <v>0</v>
      </c>
      <c r="AG45" s="126">
        <v>0</v>
      </c>
      <c r="AH45" s="126">
        <v>0</v>
      </c>
      <c r="AI45" s="126" t="s">
        <v>834</v>
      </c>
      <c r="AJ45" s="126" t="s">
        <v>834</v>
      </c>
      <c r="AK45" s="107">
        <v>91</v>
      </c>
    </row>
    <row r="46" spans="1:37" s="127" customFormat="1" ht="15.75">
      <c r="A46" s="120">
        <v>44</v>
      </c>
      <c r="B46" s="129" t="s">
        <v>219</v>
      </c>
      <c r="C46" s="129" t="s">
        <v>110</v>
      </c>
      <c r="D46" s="122" t="str">
        <f>"1811201"</f>
        <v>1811201</v>
      </c>
      <c r="E46" s="123" t="s">
        <v>22</v>
      </c>
      <c r="F46" s="126" t="s">
        <v>26</v>
      </c>
      <c r="G46" s="123" t="s">
        <v>129</v>
      </c>
      <c r="H46" s="126" t="s">
        <v>129</v>
      </c>
      <c r="I46" s="126">
        <v>0</v>
      </c>
      <c r="J46" s="126">
        <v>0</v>
      </c>
      <c r="K46" s="126">
        <v>0</v>
      </c>
      <c r="L46" s="124"/>
      <c r="M46" s="126">
        <v>2</v>
      </c>
      <c r="N46" s="126">
        <v>1</v>
      </c>
      <c r="O46" s="126">
        <v>0</v>
      </c>
      <c r="P46" s="126"/>
      <c r="Q46" s="126">
        <v>0</v>
      </c>
      <c r="R46" s="126"/>
      <c r="S46" s="126">
        <v>0</v>
      </c>
      <c r="T46" s="124"/>
      <c r="U46" s="126">
        <v>1</v>
      </c>
      <c r="V46" s="126">
        <v>1</v>
      </c>
      <c r="W46" s="126">
        <v>0</v>
      </c>
      <c r="X46" s="126">
        <v>0</v>
      </c>
      <c r="Y46" s="126">
        <v>0</v>
      </c>
      <c r="Z46" s="124">
        <v>0</v>
      </c>
      <c r="AA46" s="126">
        <v>0</v>
      </c>
      <c r="AB46" s="124">
        <v>0</v>
      </c>
      <c r="AC46" s="126">
        <v>0</v>
      </c>
      <c r="AD46" s="124">
        <v>0</v>
      </c>
      <c r="AE46" s="126">
        <v>3</v>
      </c>
      <c r="AF46" s="124">
        <v>0</v>
      </c>
      <c r="AG46" s="126">
        <v>0</v>
      </c>
      <c r="AH46" s="126">
        <v>0</v>
      </c>
      <c r="AI46" s="126" t="s">
        <v>841</v>
      </c>
      <c r="AJ46" s="126" t="s">
        <v>841</v>
      </c>
      <c r="AK46" s="107">
        <v>22</v>
      </c>
    </row>
    <row r="47" spans="1:37" s="127" customFormat="1" ht="15.75">
      <c r="A47" s="120">
        <v>45</v>
      </c>
      <c r="B47" s="129" t="s">
        <v>219</v>
      </c>
      <c r="C47" s="129" t="s">
        <v>116</v>
      </c>
      <c r="D47" s="122" t="str">
        <f>"1802010"</f>
        <v>1802010</v>
      </c>
      <c r="E47" s="123" t="s">
        <v>22</v>
      </c>
      <c r="F47" s="126" t="s">
        <v>26</v>
      </c>
      <c r="G47" s="123" t="s">
        <v>131</v>
      </c>
      <c r="H47" s="126" t="s">
        <v>135</v>
      </c>
      <c r="I47" s="126"/>
      <c r="J47" s="126"/>
      <c r="K47" s="126">
        <v>1</v>
      </c>
      <c r="L47" s="124">
        <v>1</v>
      </c>
      <c r="M47" s="126">
        <v>2</v>
      </c>
      <c r="N47" s="126">
        <v>1</v>
      </c>
      <c r="O47" s="126">
        <v>9</v>
      </c>
      <c r="P47" s="126"/>
      <c r="Q47" s="126">
        <v>3</v>
      </c>
      <c r="R47" s="126">
        <v>1</v>
      </c>
      <c r="S47" s="126">
        <v>1</v>
      </c>
      <c r="T47" s="124"/>
      <c r="U47" s="126">
        <v>2</v>
      </c>
      <c r="V47" s="126"/>
      <c r="W47" s="126">
        <v>6</v>
      </c>
      <c r="X47" s="126">
        <v>6</v>
      </c>
      <c r="Y47" s="126"/>
      <c r="Z47" s="124">
        <v>0</v>
      </c>
      <c r="AA47" s="126">
        <v>0</v>
      </c>
      <c r="AB47" s="124">
        <v>0</v>
      </c>
      <c r="AC47" s="126">
        <v>0</v>
      </c>
      <c r="AD47" s="124">
        <v>0</v>
      </c>
      <c r="AE47" s="126">
        <v>8</v>
      </c>
      <c r="AF47" s="124">
        <v>0</v>
      </c>
      <c r="AG47" s="126">
        <v>0</v>
      </c>
      <c r="AH47" s="126">
        <v>0</v>
      </c>
      <c r="AI47" s="126" t="s">
        <v>841</v>
      </c>
      <c r="AJ47" s="126" t="s">
        <v>841</v>
      </c>
      <c r="AK47" s="107">
        <v>132</v>
      </c>
    </row>
    <row r="48" spans="1:37" s="127" customFormat="1" ht="15.75">
      <c r="A48" s="120">
        <v>46</v>
      </c>
      <c r="B48" s="129" t="s">
        <v>219</v>
      </c>
      <c r="C48" s="129" t="s">
        <v>115</v>
      </c>
      <c r="D48" s="122" t="str">
        <f>"1805010"</f>
        <v>1805010</v>
      </c>
      <c r="E48" s="123" t="s">
        <v>22</v>
      </c>
      <c r="F48" s="126" t="s">
        <v>26</v>
      </c>
      <c r="G48" s="123" t="s">
        <v>131</v>
      </c>
      <c r="H48" s="126" t="s">
        <v>134</v>
      </c>
      <c r="I48" s="126"/>
      <c r="J48" s="126"/>
      <c r="K48" s="126"/>
      <c r="L48" s="124">
        <v>1</v>
      </c>
      <c r="M48" s="126"/>
      <c r="N48" s="126"/>
      <c r="O48" s="126"/>
      <c r="P48" s="126"/>
      <c r="Q48" s="126"/>
      <c r="R48" s="126"/>
      <c r="S48" s="126"/>
      <c r="T48" s="124"/>
      <c r="U48" s="126"/>
      <c r="V48" s="126"/>
      <c r="W48" s="126"/>
      <c r="X48" s="126"/>
      <c r="Y48" s="126"/>
      <c r="Z48" s="124">
        <v>0</v>
      </c>
      <c r="AA48" s="126"/>
      <c r="AB48" s="124">
        <v>0</v>
      </c>
      <c r="AC48" s="126"/>
      <c r="AD48" s="124">
        <v>0</v>
      </c>
      <c r="AE48" s="126"/>
      <c r="AF48" s="124">
        <v>0</v>
      </c>
      <c r="AG48" s="126"/>
      <c r="AH48" s="126"/>
      <c r="AI48" s="126"/>
      <c r="AJ48" s="126"/>
      <c r="AK48" s="107" t="s">
        <v>140</v>
      </c>
    </row>
    <row r="49" spans="1:37" s="127" customFormat="1" ht="15.75">
      <c r="A49" s="120">
        <v>47</v>
      </c>
      <c r="B49" s="129" t="s">
        <v>219</v>
      </c>
      <c r="C49" s="129" t="s">
        <v>112</v>
      </c>
      <c r="D49" s="122" t="str">
        <f>"1806010"</f>
        <v>1806010</v>
      </c>
      <c r="E49" s="123" t="s">
        <v>22</v>
      </c>
      <c r="F49" s="126" t="s">
        <v>26</v>
      </c>
      <c r="G49" s="123" t="s">
        <v>131</v>
      </c>
      <c r="H49" s="126" t="s">
        <v>132</v>
      </c>
      <c r="I49" s="126">
        <v>6</v>
      </c>
      <c r="J49" s="126">
        <v>1</v>
      </c>
      <c r="K49" s="126">
        <v>2</v>
      </c>
      <c r="L49" s="124">
        <v>1</v>
      </c>
      <c r="M49" s="126">
        <v>1</v>
      </c>
      <c r="N49" s="126">
        <v>1</v>
      </c>
      <c r="O49" s="126">
        <v>4</v>
      </c>
      <c r="P49" s="126"/>
      <c r="Q49" s="126">
        <v>1</v>
      </c>
      <c r="R49" s="126">
        <v>1</v>
      </c>
      <c r="S49" s="126">
        <v>1</v>
      </c>
      <c r="T49" s="124"/>
      <c r="U49" s="126">
        <v>1</v>
      </c>
      <c r="V49" s="126"/>
      <c r="W49" s="126">
        <v>2</v>
      </c>
      <c r="X49" s="126">
        <v>2</v>
      </c>
      <c r="Y49" s="126">
        <v>0</v>
      </c>
      <c r="Z49" s="124">
        <v>0</v>
      </c>
      <c r="AA49" s="126">
        <v>0</v>
      </c>
      <c r="AB49" s="124">
        <v>0</v>
      </c>
      <c r="AC49" s="126">
        <v>0</v>
      </c>
      <c r="AD49" s="124">
        <v>0</v>
      </c>
      <c r="AE49" s="126">
        <v>0</v>
      </c>
      <c r="AF49" s="124">
        <v>0</v>
      </c>
      <c r="AG49" s="126">
        <v>0</v>
      </c>
      <c r="AH49" s="126">
        <v>0</v>
      </c>
      <c r="AI49" s="126"/>
      <c r="AJ49" s="126"/>
      <c r="AK49" s="107">
        <v>40</v>
      </c>
    </row>
    <row r="50" spans="1:37" s="127" customFormat="1" ht="15.75">
      <c r="A50" s="120">
        <v>48</v>
      </c>
      <c r="B50" s="129" t="s">
        <v>219</v>
      </c>
      <c r="C50" s="129" t="s">
        <v>107</v>
      </c>
      <c r="D50" s="122" t="str">
        <f>"1803010"</f>
        <v>1803010</v>
      </c>
      <c r="E50" s="123" t="s">
        <v>22</v>
      </c>
      <c r="F50" s="126" t="s">
        <v>26</v>
      </c>
      <c r="G50" s="123" t="s">
        <v>130</v>
      </c>
      <c r="H50" s="126" t="s">
        <v>130</v>
      </c>
      <c r="I50" s="126"/>
      <c r="J50" s="126"/>
      <c r="K50" s="126">
        <v>1</v>
      </c>
      <c r="L50" s="124">
        <v>1</v>
      </c>
      <c r="M50" s="126">
        <v>4</v>
      </c>
      <c r="N50" s="126">
        <v>1</v>
      </c>
      <c r="O50" s="126">
        <v>2</v>
      </c>
      <c r="P50" s="126"/>
      <c r="Q50" s="126">
        <v>2</v>
      </c>
      <c r="R50" s="126"/>
      <c r="S50" s="126">
        <v>1</v>
      </c>
      <c r="T50" s="124"/>
      <c r="U50" s="126">
        <v>0</v>
      </c>
      <c r="V50" s="126"/>
      <c r="W50" s="126">
        <v>3</v>
      </c>
      <c r="X50" s="126">
        <v>3</v>
      </c>
      <c r="Y50" s="126"/>
      <c r="Z50" s="124">
        <v>0</v>
      </c>
      <c r="AA50" s="126">
        <v>0</v>
      </c>
      <c r="AB50" s="124">
        <v>0</v>
      </c>
      <c r="AC50" s="126">
        <v>0</v>
      </c>
      <c r="AD50" s="124">
        <v>0</v>
      </c>
      <c r="AE50" s="126">
        <v>2</v>
      </c>
      <c r="AF50" s="124">
        <v>0</v>
      </c>
      <c r="AG50" s="126">
        <v>0</v>
      </c>
      <c r="AH50" s="126">
        <v>0</v>
      </c>
      <c r="AI50" s="126" t="s">
        <v>841</v>
      </c>
      <c r="AJ50" s="126" t="s">
        <v>841</v>
      </c>
      <c r="AK50" s="107">
        <v>117</v>
      </c>
    </row>
    <row r="51" spans="1:37" s="127" customFormat="1" ht="15.75">
      <c r="A51" s="120">
        <v>49</v>
      </c>
      <c r="B51" s="129" t="s">
        <v>219</v>
      </c>
      <c r="C51" s="129" t="s">
        <v>120</v>
      </c>
      <c r="D51" s="122" t="str">
        <f>"1841001"</f>
        <v>1841001</v>
      </c>
      <c r="E51" s="123" t="s">
        <v>85</v>
      </c>
      <c r="F51" s="126" t="s">
        <v>26</v>
      </c>
      <c r="G51" s="123" t="s">
        <v>131</v>
      </c>
      <c r="H51" s="126" t="s">
        <v>135</v>
      </c>
      <c r="I51" s="126">
        <v>0</v>
      </c>
      <c r="J51" s="126">
        <v>0</v>
      </c>
      <c r="K51" s="126">
        <v>0</v>
      </c>
      <c r="L51" s="124"/>
      <c r="M51" s="126">
        <v>0</v>
      </c>
      <c r="N51" s="126"/>
      <c r="O51" s="126">
        <v>0</v>
      </c>
      <c r="P51" s="126"/>
      <c r="Q51" s="126">
        <v>0</v>
      </c>
      <c r="R51" s="126"/>
      <c r="S51" s="126">
        <v>0</v>
      </c>
      <c r="T51" s="124"/>
      <c r="U51" s="126">
        <v>1</v>
      </c>
      <c r="V51" s="126">
        <v>1</v>
      </c>
      <c r="W51" s="126">
        <v>1</v>
      </c>
      <c r="X51" s="126">
        <v>1</v>
      </c>
      <c r="Y51" s="126">
        <v>0</v>
      </c>
      <c r="Z51" s="124">
        <v>0</v>
      </c>
      <c r="AA51" s="126">
        <v>0</v>
      </c>
      <c r="AB51" s="124">
        <v>0</v>
      </c>
      <c r="AC51" s="126">
        <v>0</v>
      </c>
      <c r="AD51" s="124">
        <v>0</v>
      </c>
      <c r="AE51" s="126">
        <v>1</v>
      </c>
      <c r="AF51" s="124">
        <v>0</v>
      </c>
      <c r="AG51" s="126">
        <v>0</v>
      </c>
      <c r="AH51" s="126">
        <v>0</v>
      </c>
      <c r="AI51" s="126" t="s">
        <v>834</v>
      </c>
      <c r="AJ51" s="126" t="s">
        <v>834</v>
      </c>
      <c r="AK51" s="107">
        <v>15</v>
      </c>
    </row>
    <row r="52" spans="1:37" s="127" customFormat="1" ht="15.75">
      <c r="A52" s="120">
        <v>50</v>
      </c>
      <c r="B52" s="129" t="s">
        <v>219</v>
      </c>
      <c r="C52" s="129" t="s">
        <v>252</v>
      </c>
      <c r="D52" s="122" t="str">
        <f>"1848000"</f>
        <v>1848000</v>
      </c>
      <c r="E52" s="123" t="s">
        <v>86</v>
      </c>
      <c r="F52" s="126" t="s">
        <v>26</v>
      </c>
      <c r="G52" s="123" t="s">
        <v>129</v>
      </c>
      <c r="H52" s="126" t="s">
        <v>129</v>
      </c>
      <c r="I52" s="126">
        <v>0</v>
      </c>
      <c r="J52" s="126"/>
      <c r="K52" s="126">
        <v>0</v>
      </c>
      <c r="L52" s="124"/>
      <c r="M52" s="126">
        <v>0</v>
      </c>
      <c r="N52" s="126"/>
      <c r="O52" s="126">
        <v>0</v>
      </c>
      <c r="P52" s="126"/>
      <c r="Q52" s="126">
        <v>0</v>
      </c>
      <c r="R52" s="126"/>
      <c r="S52" s="126">
        <v>0</v>
      </c>
      <c r="T52" s="124"/>
      <c r="U52" s="126">
        <v>0</v>
      </c>
      <c r="V52" s="126"/>
      <c r="W52" s="126">
        <v>0</v>
      </c>
      <c r="X52" s="126">
        <v>0</v>
      </c>
      <c r="Y52" s="126">
        <v>0</v>
      </c>
      <c r="Z52" s="124">
        <v>0</v>
      </c>
      <c r="AA52" s="126">
        <v>0</v>
      </c>
      <c r="AB52" s="124">
        <v>0</v>
      </c>
      <c r="AC52" s="126">
        <v>0</v>
      </c>
      <c r="AD52" s="124">
        <v>0</v>
      </c>
      <c r="AE52" s="126">
        <v>0</v>
      </c>
      <c r="AF52" s="124">
        <v>0</v>
      </c>
      <c r="AG52" s="126">
        <v>0</v>
      </c>
      <c r="AH52" s="126">
        <v>0</v>
      </c>
      <c r="AI52" s="126"/>
      <c r="AJ52" s="126"/>
      <c r="AK52" s="107"/>
    </row>
    <row r="53" spans="1:37" s="127" customFormat="1" ht="15.75">
      <c r="A53" s="120">
        <v>51</v>
      </c>
      <c r="B53" s="129" t="s">
        <v>219</v>
      </c>
      <c r="C53" s="129" t="s">
        <v>121</v>
      </c>
      <c r="D53" s="122" t="str">
        <f>"1840035"</f>
        <v>1840035</v>
      </c>
      <c r="E53" s="123" t="s">
        <v>86</v>
      </c>
      <c r="F53" s="126" t="s">
        <v>26</v>
      </c>
      <c r="G53" s="123" t="s">
        <v>131</v>
      </c>
      <c r="H53" s="126" t="s">
        <v>135</v>
      </c>
      <c r="I53" s="126"/>
      <c r="J53" s="126"/>
      <c r="K53" s="126"/>
      <c r="L53" s="124"/>
      <c r="M53" s="126">
        <v>0</v>
      </c>
      <c r="N53" s="126"/>
      <c r="O53" s="126">
        <v>0</v>
      </c>
      <c r="P53" s="126"/>
      <c r="Q53" s="126">
        <v>0</v>
      </c>
      <c r="R53" s="126"/>
      <c r="S53" s="126">
        <v>1</v>
      </c>
      <c r="T53" s="124"/>
      <c r="U53" s="126">
        <v>0</v>
      </c>
      <c r="V53" s="126"/>
      <c r="W53" s="126">
        <v>3</v>
      </c>
      <c r="X53" s="126"/>
      <c r="Y53" s="126"/>
      <c r="Z53" s="124">
        <v>0</v>
      </c>
      <c r="AA53" s="126">
        <v>0</v>
      </c>
      <c r="AB53" s="124">
        <v>0</v>
      </c>
      <c r="AC53" s="126">
        <v>0</v>
      </c>
      <c r="AD53" s="124">
        <v>0</v>
      </c>
      <c r="AE53" s="126">
        <v>0</v>
      </c>
      <c r="AF53" s="124">
        <v>0</v>
      </c>
      <c r="AG53" s="126">
        <v>0</v>
      </c>
      <c r="AH53" s="126">
        <v>0</v>
      </c>
      <c r="AI53" s="126"/>
      <c r="AJ53" s="126"/>
      <c r="AK53" s="107">
        <v>93</v>
      </c>
    </row>
    <row r="54" spans="1:37" s="127" customFormat="1" ht="15.75">
      <c r="A54" s="120">
        <v>52</v>
      </c>
      <c r="B54" s="129" t="s">
        <v>219</v>
      </c>
      <c r="C54" s="129" t="s">
        <v>122</v>
      </c>
      <c r="D54" s="122" t="str">
        <f>"1840040"</f>
        <v>1840040</v>
      </c>
      <c r="E54" s="123" t="s">
        <v>86</v>
      </c>
      <c r="F54" s="126" t="s">
        <v>26</v>
      </c>
      <c r="G54" s="123" t="s">
        <v>130</v>
      </c>
      <c r="H54" s="126" t="s">
        <v>130</v>
      </c>
      <c r="I54" s="126"/>
      <c r="J54" s="126"/>
      <c r="K54" s="126"/>
      <c r="L54" s="124"/>
      <c r="M54" s="126">
        <v>1</v>
      </c>
      <c r="N54" s="126"/>
      <c r="O54" s="126">
        <v>1</v>
      </c>
      <c r="P54" s="126"/>
      <c r="Q54" s="126">
        <v>0</v>
      </c>
      <c r="R54" s="126"/>
      <c r="S54" s="126">
        <v>0</v>
      </c>
      <c r="T54" s="124"/>
      <c r="U54" s="126">
        <v>0</v>
      </c>
      <c r="V54" s="126"/>
      <c r="W54" s="126">
        <v>0</v>
      </c>
      <c r="X54" s="126"/>
      <c r="Y54" s="126">
        <v>0</v>
      </c>
      <c r="Z54" s="124">
        <v>0</v>
      </c>
      <c r="AA54" s="126">
        <v>0</v>
      </c>
      <c r="AB54" s="124">
        <v>0</v>
      </c>
      <c r="AC54" s="126">
        <v>0</v>
      </c>
      <c r="AD54" s="124">
        <v>0</v>
      </c>
      <c r="AE54" s="126">
        <v>1</v>
      </c>
      <c r="AF54" s="124">
        <v>0</v>
      </c>
      <c r="AG54" s="126">
        <v>0</v>
      </c>
      <c r="AH54" s="126">
        <v>0</v>
      </c>
      <c r="AI54" s="126" t="s">
        <v>841</v>
      </c>
      <c r="AJ54" s="126"/>
      <c r="AK54" s="107">
        <v>36</v>
      </c>
    </row>
    <row r="55" spans="1:37" s="127" customFormat="1" ht="15.75">
      <c r="A55" s="120">
        <v>53</v>
      </c>
      <c r="B55" s="129" t="s">
        <v>219</v>
      </c>
      <c r="C55" s="129" t="s">
        <v>125</v>
      </c>
      <c r="D55" s="122" t="str">
        <f>"1851009"</f>
        <v>1851009</v>
      </c>
      <c r="E55" s="123" t="s">
        <v>23</v>
      </c>
      <c r="F55" s="126" t="s">
        <v>26</v>
      </c>
      <c r="G55" s="123" t="s">
        <v>129</v>
      </c>
      <c r="H55" s="126" t="s">
        <v>129</v>
      </c>
      <c r="I55" s="126">
        <v>0</v>
      </c>
      <c r="J55" s="126">
        <v>2</v>
      </c>
      <c r="K55" s="126">
        <v>2</v>
      </c>
      <c r="L55" s="124">
        <v>1</v>
      </c>
      <c r="M55" s="126">
        <v>0</v>
      </c>
      <c r="N55" s="126"/>
      <c r="O55" s="126">
        <v>0</v>
      </c>
      <c r="P55" s="126"/>
      <c r="Q55" s="126">
        <v>1</v>
      </c>
      <c r="R55" s="126">
        <v>1</v>
      </c>
      <c r="S55" s="126">
        <v>1</v>
      </c>
      <c r="T55" s="124"/>
      <c r="U55" s="126">
        <v>1</v>
      </c>
      <c r="V55" s="126"/>
      <c r="W55" s="126">
        <v>2</v>
      </c>
      <c r="X55" s="126">
        <v>2</v>
      </c>
      <c r="Y55" s="126"/>
      <c r="Z55" s="124">
        <v>0</v>
      </c>
      <c r="AA55" s="126">
        <v>0</v>
      </c>
      <c r="AB55" s="124">
        <v>0</v>
      </c>
      <c r="AC55" s="126">
        <v>0</v>
      </c>
      <c r="AD55" s="124">
        <v>0</v>
      </c>
      <c r="AE55" s="126">
        <v>0</v>
      </c>
      <c r="AF55" s="124">
        <v>0</v>
      </c>
      <c r="AG55" s="126">
        <v>0</v>
      </c>
      <c r="AH55" s="126">
        <v>0</v>
      </c>
      <c r="AI55" s="126" t="s">
        <v>841</v>
      </c>
      <c r="AJ55" s="126" t="s">
        <v>841</v>
      </c>
      <c r="AK55" s="107">
        <v>307</v>
      </c>
    </row>
    <row r="56" spans="1:37" s="127" customFormat="1" ht="15.75">
      <c r="A56" s="120">
        <v>54</v>
      </c>
      <c r="B56" s="129" t="s">
        <v>219</v>
      </c>
      <c r="C56" s="129" t="s">
        <v>123</v>
      </c>
      <c r="D56" s="122" t="str">
        <f>"1851010"</f>
        <v>1851010</v>
      </c>
      <c r="E56" s="123" t="s">
        <v>23</v>
      </c>
      <c r="F56" s="126" t="s">
        <v>26</v>
      </c>
      <c r="G56" s="123" t="s">
        <v>129</v>
      </c>
      <c r="H56" s="126" t="s">
        <v>129</v>
      </c>
      <c r="I56" s="126">
        <v>16</v>
      </c>
      <c r="J56" s="126">
        <v>3</v>
      </c>
      <c r="K56" s="126">
        <v>5</v>
      </c>
      <c r="L56" s="124">
        <v>1</v>
      </c>
      <c r="M56" s="126">
        <v>1</v>
      </c>
      <c r="N56" s="126">
        <v>1</v>
      </c>
      <c r="O56" s="126">
        <v>1</v>
      </c>
      <c r="P56" s="126"/>
      <c r="Q56" s="126">
        <v>1</v>
      </c>
      <c r="R56" s="126">
        <v>1</v>
      </c>
      <c r="S56" s="126">
        <v>1</v>
      </c>
      <c r="T56" s="124"/>
      <c r="U56" s="126">
        <v>1</v>
      </c>
      <c r="V56" s="126"/>
      <c r="W56" s="126">
        <v>1</v>
      </c>
      <c r="X56" s="126">
        <v>1</v>
      </c>
      <c r="Y56" s="126">
        <v>1</v>
      </c>
      <c r="Z56" s="124">
        <v>1</v>
      </c>
      <c r="AA56" s="126" t="s">
        <v>852</v>
      </c>
      <c r="AB56" s="124">
        <v>1</v>
      </c>
      <c r="AC56" s="126" t="s">
        <v>852</v>
      </c>
      <c r="AD56" s="124">
        <v>1</v>
      </c>
      <c r="AE56" s="126">
        <v>8</v>
      </c>
      <c r="AF56" s="124">
        <v>0</v>
      </c>
      <c r="AG56" s="126">
        <v>0</v>
      </c>
      <c r="AH56" s="126">
        <v>0</v>
      </c>
      <c r="AI56" s="126"/>
      <c r="AJ56" s="126"/>
      <c r="AK56" s="107">
        <v>279</v>
      </c>
    </row>
    <row r="57" spans="1:37" s="127" customFormat="1" ht="15.75">
      <c r="A57" s="120">
        <v>55</v>
      </c>
      <c r="B57" s="129" t="s">
        <v>219</v>
      </c>
      <c r="C57" s="129" t="s">
        <v>126</v>
      </c>
      <c r="D57" s="122" t="str">
        <f>"1851015"</f>
        <v>1851015</v>
      </c>
      <c r="E57" s="123" t="s">
        <v>23</v>
      </c>
      <c r="F57" s="126" t="s">
        <v>26</v>
      </c>
      <c r="G57" s="123" t="s">
        <v>129</v>
      </c>
      <c r="H57" s="126" t="s">
        <v>129</v>
      </c>
      <c r="I57" s="126">
        <v>0</v>
      </c>
      <c r="J57" s="126">
        <v>0</v>
      </c>
      <c r="K57" s="126">
        <v>1</v>
      </c>
      <c r="L57" s="124">
        <v>1</v>
      </c>
      <c r="M57" s="126">
        <v>2</v>
      </c>
      <c r="N57" s="126">
        <v>1</v>
      </c>
      <c r="O57" s="126">
        <v>2</v>
      </c>
      <c r="P57" s="126"/>
      <c r="Q57" s="126">
        <v>1</v>
      </c>
      <c r="R57" s="126">
        <v>1</v>
      </c>
      <c r="S57" s="126">
        <v>0</v>
      </c>
      <c r="T57" s="124"/>
      <c r="U57" s="126">
        <v>0</v>
      </c>
      <c r="V57" s="126"/>
      <c r="W57" s="126">
        <v>0</v>
      </c>
      <c r="X57" s="126">
        <v>0</v>
      </c>
      <c r="Y57" s="126">
        <v>0</v>
      </c>
      <c r="Z57" s="124">
        <v>0</v>
      </c>
      <c r="AA57" s="126">
        <v>0</v>
      </c>
      <c r="AB57" s="124">
        <v>0</v>
      </c>
      <c r="AC57" s="126">
        <v>0</v>
      </c>
      <c r="AD57" s="124">
        <v>0</v>
      </c>
      <c r="AE57" s="126">
        <v>0</v>
      </c>
      <c r="AF57" s="124">
        <v>0</v>
      </c>
      <c r="AG57" s="126">
        <v>0</v>
      </c>
      <c r="AH57" s="126">
        <v>0</v>
      </c>
      <c r="AI57" s="126" t="s">
        <v>841</v>
      </c>
      <c r="AJ57" s="126" t="s">
        <v>841</v>
      </c>
      <c r="AK57" s="107">
        <v>28</v>
      </c>
    </row>
    <row r="58" spans="1:37" s="127" customFormat="1" ht="15.75">
      <c r="A58" s="120">
        <v>56</v>
      </c>
      <c r="B58" s="129" t="s">
        <v>219</v>
      </c>
      <c r="C58" s="129" t="s">
        <v>127</v>
      </c>
      <c r="D58" s="122" t="str">
        <f>"1854010"</f>
        <v>1854010</v>
      </c>
      <c r="E58" s="123" t="s">
        <v>23</v>
      </c>
      <c r="F58" s="126" t="s">
        <v>26</v>
      </c>
      <c r="G58" s="123" t="s">
        <v>129</v>
      </c>
      <c r="H58" s="126" t="s">
        <v>133</v>
      </c>
      <c r="I58" s="126">
        <v>0</v>
      </c>
      <c r="J58" s="126">
        <v>0</v>
      </c>
      <c r="K58" s="126">
        <v>1</v>
      </c>
      <c r="L58" s="124">
        <v>1</v>
      </c>
      <c r="M58" s="126">
        <v>1</v>
      </c>
      <c r="N58" s="126">
        <v>1</v>
      </c>
      <c r="O58" s="126">
        <v>1</v>
      </c>
      <c r="P58" s="126"/>
      <c r="Q58" s="126">
        <v>1</v>
      </c>
      <c r="R58" s="126">
        <v>1</v>
      </c>
      <c r="S58" s="126">
        <v>0</v>
      </c>
      <c r="T58" s="124"/>
      <c r="U58" s="126">
        <v>1</v>
      </c>
      <c r="V58" s="126"/>
      <c r="W58" s="126">
        <v>1</v>
      </c>
      <c r="X58" s="126">
        <v>1</v>
      </c>
      <c r="Y58" s="126"/>
      <c r="Z58" s="124">
        <v>0</v>
      </c>
      <c r="AA58" s="126">
        <v>0</v>
      </c>
      <c r="AB58" s="124">
        <v>0</v>
      </c>
      <c r="AC58" s="126">
        <v>0</v>
      </c>
      <c r="AD58" s="124">
        <v>0</v>
      </c>
      <c r="AE58" s="126">
        <v>1</v>
      </c>
      <c r="AF58" s="124">
        <v>0</v>
      </c>
      <c r="AG58" s="126">
        <v>0</v>
      </c>
      <c r="AH58" s="126">
        <v>0</v>
      </c>
      <c r="AI58" s="126" t="s">
        <v>834</v>
      </c>
      <c r="AJ58" s="126" t="s">
        <v>834</v>
      </c>
      <c r="AK58" s="107">
        <v>11</v>
      </c>
    </row>
    <row r="59" spans="1:37" s="127" customFormat="1" ht="15.75">
      <c r="A59" s="120">
        <v>57</v>
      </c>
      <c r="B59" s="129" t="s">
        <v>219</v>
      </c>
      <c r="C59" s="129" t="s">
        <v>124</v>
      </c>
      <c r="D59" s="122" t="str">
        <f>"1852010"</f>
        <v>1852010</v>
      </c>
      <c r="E59" s="123" t="s">
        <v>23</v>
      </c>
      <c r="F59" s="126" t="s">
        <v>26</v>
      </c>
      <c r="G59" s="123" t="s">
        <v>131</v>
      </c>
      <c r="H59" s="126" t="s">
        <v>135</v>
      </c>
      <c r="I59" s="126"/>
      <c r="J59" s="126"/>
      <c r="K59" s="126">
        <v>1</v>
      </c>
      <c r="L59" s="124">
        <v>1</v>
      </c>
      <c r="M59" s="126">
        <v>3</v>
      </c>
      <c r="N59" s="126">
        <v>1</v>
      </c>
      <c r="O59" s="126">
        <v>4</v>
      </c>
      <c r="P59" s="126"/>
      <c r="Q59" s="126">
        <v>4</v>
      </c>
      <c r="R59" s="126">
        <v>1</v>
      </c>
      <c r="S59" s="126">
        <v>1</v>
      </c>
      <c r="T59" s="124"/>
      <c r="U59" s="126">
        <v>1</v>
      </c>
      <c r="V59" s="126"/>
      <c r="W59" s="126">
        <v>0</v>
      </c>
      <c r="X59" s="126">
        <v>0</v>
      </c>
      <c r="Y59" s="126"/>
      <c r="Z59" s="124">
        <v>0</v>
      </c>
      <c r="AA59" s="126">
        <v>0</v>
      </c>
      <c r="AB59" s="124">
        <v>0</v>
      </c>
      <c r="AC59" s="126">
        <v>0</v>
      </c>
      <c r="AD59" s="124">
        <v>0</v>
      </c>
      <c r="AE59" s="126">
        <v>6</v>
      </c>
      <c r="AF59" s="124">
        <v>0</v>
      </c>
      <c r="AG59" s="126">
        <v>0</v>
      </c>
      <c r="AH59" s="126">
        <v>0</v>
      </c>
      <c r="AI59" s="126" t="s">
        <v>841</v>
      </c>
      <c r="AJ59" s="126" t="s">
        <v>841</v>
      </c>
      <c r="AK59" s="107">
        <v>131</v>
      </c>
    </row>
    <row r="60" spans="1:37" s="127" customFormat="1" ht="15.75">
      <c r="A60" s="120">
        <v>58</v>
      </c>
      <c r="B60" s="129" t="s">
        <v>219</v>
      </c>
      <c r="C60" s="129" t="s">
        <v>128</v>
      </c>
      <c r="D60" s="122" t="str">
        <f>"1853010"</f>
        <v>1853010</v>
      </c>
      <c r="E60" s="123" t="s">
        <v>23</v>
      </c>
      <c r="F60" s="126" t="s">
        <v>26</v>
      </c>
      <c r="G60" s="123" t="s">
        <v>130</v>
      </c>
      <c r="H60" s="126" t="s">
        <v>130</v>
      </c>
      <c r="I60" s="126">
        <v>0</v>
      </c>
      <c r="J60" s="126">
        <v>0</v>
      </c>
      <c r="K60" s="126">
        <v>1</v>
      </c>
      <c r="L60" s="124">
        <v>1</v>
      </c>
      <c r="M60" s="126">
        <v>2</v>
      </c>
      <c r="N60" s="126">
        <v>1</v>
      </c>
      <c r="O60" s="126">
        <v>0</v>
      </c>
      <c r="P60" s="126"/>
      <c r="Q60" s="126">
        <v>0</v>
      </c>
      <c r="R60" s="126"/>
      <c r="S60" s="126">
        <v>0</v>
      </c>
      <c r="T60" s="124"/>
      <c r="U60" s="126">
        <v>1</v>
      </c>
      <c r="V60" s="126">
        <v>1</v>
      </c>
      <c r="W60" s="126">
        <v>2</v>
      </c>
      <c r="X60" s="126">
        <v>2</v>
      </c>
      <c r="Y60" s="126">
        <v>0</v>
      </c>
      <c r="Z60" s="124">
        <v>0</v>
      </c>
      <c r="AA60" s="126">
        <v>0</v>
      </c>
      <c r="AB60" s="124">
        <v>0</v>
      </c>
      <c r="AC60" s="126">
        <v>0</v>
      </c>
      <c r="AD60" s="124">
        <v>0</v>
      </c>
      <c r="AE60" s="126">
        <v>0</v>
      </c>
      <c r="AF60" s="124">
        <v>0</v>
      </c>
      <c r="AG60" s="126">
        <v>0</v>
      </c>
      <c r="AH60" s="126">
        <v>0</v>
      </c>
      <c r="AI60" s="126" t="s">
        <v>841</v>
      </c>
      <c r="AJ60" s="126" t="s">
        <v>841</v>
      </c>
      <c r="AK60" s="107">
        <v>96</v>
      </c>
    </row>
    <row r="61" spans="1:37" s="127" customFormat="1" ht="45">
      <c r="A61" s="120">
        <v>59</v>
      </c>
      <c r="B61" s="126" t="s">
        <v>220</v>
      </c>
      <c r="C61" s="130" t="s">
        <v>146</v>
      </c>
      <c r="D61" s="122" t="str">
        <f>"2007010"</f>
        <v>2007010</v>
      </c>
      <c r="E61" s="126" t="s">
        <v>22</v>
      </c>
      <c r="F61" s="126" t="s">
        <v>27</v>
      </c>
      <c r="G61" s="119" t="s">
        <v>226</v>
      </c>
      <c r="H61" s="126" t="s">
        <v>232</v>
      </c>
      <c r="I61" s="126">
        <v>4</v>
      </c>
      <c r="J61" s="126">
        <v>1</v>
      </c>
      <c r="K61" s="126">
        <v>2</v>
      </c>
      <c r="L61" s="124">
        <v>1</v>
      </c>
      <c r="M61" s="126">
        <v>1</v>
      </c>
      <c r="N61" s="126">
        <v>1</v>
      </c>
      <c r="O61" s="126">
        <v>0</v>
      </c>
      <c r="P61" s="126"/>
      <c r="Q61" s="126">
        <v>0</v>
      </c>
      <c r="R61" s="126"/>
      <c r="S61" s="126">
        <v>1</v>
      </c>
      <c r="T61" s="124"/>
      <c r="U61" s="126">
        <v>0</v>
      </c>
      <c r="V61" s="126"/>
      <c r="W61" s="126">
        <v>1</v>
      </c>
      <c r="X61" s="126">
        <v>1</v>
      </c>
      <c r="Y61" s="126">
        <v>0</v>
      </c>
      <c r="Z61" s="124">
        <v>0</v>
      </c>
      <c r="AA61" s="126">
        <v>0</v>
      </c>
      <c r="AB61" s="124">
        <v>0</v>
      </c>
      <c r="AC61" s="126">
        <v>0</v>
      </c>
      <c r="AD61" s="124">
        <v>0</v>
      </c>
      <c r="AE61" s="126">
        <v>1</v>
      </c>
      <c r="AF61" s="124">
        <v>0</v>
      </c>
      <c r="AG61" s="126">
        <v>0</v>
      </c>
      <c r="AH61" s="126">
        <v>0</v>
      </c>
      <c r="AI61" s="126"/>
      <c r="AJ61" s="126"/>
      <c r="AK61" s="102">
        <v>32</v>
      </c>
    </row>
    <row r="62" spans="1:37" s="127" customFormat="1" ht="15.75">
      <c r="A62" s="120">
        <v>60</v>
      </c>
      <c r="B62" s="126" t="s">
        <v>220</v>
      </c>
      <c r="C62" s="130" t="s">
        <v>166</v>
      </c>
      <c r="D62" s="122" t="str">
        <f>"2006010"</f>
        <v>2006010</v>
      </c>
      <c r="E62" s="126" t="s">
        <v>22</v>
      </c>
      <c r="F62" s="126" t="s">
        <v>27</v>
      </c>
      <c r="G62" s="119" t="s">
        <v>228</v>
      </c>
      <c r="H62" s="126" t="s">
        <v>228</v>
      </c>
      <c r="I62" s="126">
        <v>0</v>
      </c>
      <c r="J62" s="126">
        <v>0</v>
      </c>
      <c r="K62" s="126">
        <v>0</v>
      </c>
      <c r="L62" s="124"/>
      <c r="M62" s="126">
        <v>0</v>
      </c>
      <c r="N62" s="126"/>
      <c r="O62" s="126">
        <v>0</v>
      </c>
      <c r="P62" s="126"/>
      <c r="Q62" s="126">
        <v>0</v>
      </c>
      <c r="R62" s="126"/>
      <c r="S62" s="126">
        <v>0</v>
      </c>
      <c r="T62" s="124"/>
      <c r="U62" s="126">
        <v>0</v>
      </c>
      <c r="V62" s="126"/>
      <c r="W62" s="126">
        <v>0</v>
      </c>
      <c r="X62" s="126">
        <v>0</v>
      </c>
      <c r="Y62" s="126">
        <v>0</v>
      </c>
      <c r="Z62" s="124">
        <v>0</v>
      </c>
      <c r="AA62" s="126">
        <v>0</v>
      </c>
      <c r="AB62" s="124">
        <v>0</v>
      </c>
      <c r="AC62" s="126">
        <v>0</v>
      </c>
      <c r="AD62" s="124">
        <v>0</v>
      </c>
      <c r="AE62" s="126">
        <v>0</v>
      </c>
      <c r="AF62" s="124">
        <v>0</v>
      </c>
      <c r="AG62" s="126">
        <v>0</v>
      </c>
      <c r="AH62" s="126">
        <v>0</v>
      </c>
      <c r="AI62" s="126" t="s">
        <v>841</v>
      </c>
      <c r="AJ62" s="126" t="s">
        <v>841</v>
      </c>
      <c r="AK62" s="102">
        <v>41</v>
      </c>
    </row>
    <row r="63" spans="1:37" s="127" customFormat="1" ht="15.75">
      <c r="A63" s="120">
        <v>61</v>
      </c>
      <c r="B63" s="126" t="s">
        <v>220</v>
      </c>
      <c r="C63" s="130" t="s">
        <v>165</v>
      </c>
      <c r="D63" s="122" t="str">
        <f>"2014010"</f>
        <v>2014010</v>
      </c>
      <c r="E63" s="126" t="s">
        <v>22</v>
      </c>
      <c r="F63" s="126" t="s">
        <v>27</v>
      </c>
      <c r="G63" s="119" t="s">
        <v>228</v>
      </c>
      <c r="H63" s="126" t="s">
        <v>236</v>
      </c>
      <c r="I63" s="126"/>
      <c r="J63" s="126">
        <v>2</v>
      </c>
      <c r="K63" s="126"/>
      <c r="L63" s="124"/>
      <c r="M63" s="126"/>
      <c r="N63" s="126"/>
      <c r="O63" s="126"/>
      <c r="P63" s="126"/>
      <c r="Q63" s="126"/>
      <c r="R63" s="126"/>
      <c r="S63" s="126"/>
      <c r="T63" s="124"/>
      <c r="U63" s="126"/>
      <c r="V63" s="126"/>
      <c r="W63" s="126"/>
      <c r="X63" s="126"/>
      <c r="Y63" s="126"/>
      <c r="Z63" s="124">
        <v>0</v>
      </c>
      <c r="AA63" s="126"/>
      <c r="AB63" s="124">
        <v>0</v>
      </c>
      <c r="AC63" s="126"/>
      <c r="AD63" s="124">
        <v>0</v>
      </c>
      <c r="AE63" s="126"/>
      <c r="AF63" s="124">
        <v>0</v>
      </c>
      <c r="AG63" s="126"/>
      <c r="AH63" s="126"/>
      <c r="AI63" s="126"/>
      <c r="AJ63" s="126"/>
      <c r="AK63" s="102">
        <v>244</v>
      </c>
    </row>
    <row r="64" spans="1:37" s="127" customFormat="1" ht="15.75">
      <c r="A64" s="120">
        <v>62</v>
      </c>
      <c r="B64" s="126" t="s">
        <v>220</v>
      </c>
      <c r="C64" s="130" t="s">
        <v>163</v>
      </c>
      <c r="D64" s="122" t="str">
        <f>"2016090"</f>
        <v>2016090</v>
      </c>
      <c r="E64" s="126" t="s">
        <v>22</v>
      </c>
      <c r="F64" s="126" t="s">
        <v>27</v>
      </c>
      <c r="G64" s="119" t="s">
        <v>228</v>
      </c>
      <c r="H64" s="126" t="s">
        <v>245</v>
      </c>
      <c r="I64" s="126"/>
      <c r="J64" s="126"/>
      <c r="K64" s="126"/>
      <c r="L64" s="124"/>
      <c r="M64" s="126"/>
      <c r="N64" s="126"/>
      <c r="O64" s="126"/>
      <c r="P64" s="126"/>
      <c r="Q64" s="126"/>
      <c r="R64" s="126"/>
      <c r="S64" s="126"/>
      <c r="T64" s="124"/>
      <c r="U64" s="126"/>
      <c r="V64" s="126"/>
      <c r="W64" s="126"/>
      <c r="X64" s="126"/>
      <c r="Y64" s="126"/>
      <c r="Z64" s="124">
        <v>0</v>
      </c>
      <c r="AA64" s="126"/>
      <c r="AB64" s="124">
        <v>0</v>
      </c>
      <c r="AC64" s="126"/>
      <c r="AD64" s="124">
        <v>0</v>
      </c>
      <c r="AE64" s="126"/>
      <c r="AF64" s="124">
        <v>0</v>
      </c>
      <c r="AG64" s="126"/>
      <c r="AH64" s="126"/>
      <c r="AI64" s="126"/>
      <c r="AJ64" s="126"/>
      <c r="AK64" s="102" t="s">
        <v>246</v>
      </c>
    </row>
    <row r="65" spans="1:37" s="127" customFormat="1" ht="15.75">
      <c r="A65" s="120">
        <v>63</v>
      </c>
      <c r="B65" s="126" t="s">
        <v>220</v>
      </c>
      <c r="C65" s="130" t="s">
        <v>144</v>
      </c>
      <c r="D65" s="122" t="str">
        <f>"2001010"</f>
        <v>2001010</v>
      </c>
      <c r="E65" s="126" t="s">
        <v>22</v>
      </c>
      <c r="F65" s="126" t="s">
        <v>27</v>
      </c>
      <c r="G65" s="128" t="s">
        <v>224</v>
      </c>
      <c r="H65" s="126" t="s">
        <v>230</v>
      </c>
      <c r="I65" s="126">
        <v>1</v>
      </c>
      <c r="J65" s="126">
        <v>1</v>
      </c>
      <c r="K65" s="126">
        <v>5</v>
      </c>
      <c r="L65" s="124">
        <v>2</v>
      </c>
      <c r="M65" s="126">
        <v>1</v>
      </c>
      <c r="N65" s="126">
        <v>1</v>
      </c>
      <c r="O65" s="126">
        <v>1</v>
      </c>
      <c r="P65" s="126"/>
      <c r="Q65" s="126">
        <v>1</v>
      </c>
      <c r="R65" s="126">
        <v>1</v>
      </c>
      <c r="S65" s="126">
        <v>1</v>
      </c>
      <c r="T65" s="124"/>
      <c r="U65" s="126">
        <v>0</v>
      </c>
      <c r="V65" s="126"/>
      <c r="W65" s="126">
        <v>2</v>
      </c>
      <c r="X65" s="126">
        <v>2</v>
      </c>
      <c r="Y65" s="126">
        <v>0</v>
      </c>
      <c r="Z65" s="124">
        <v>0</v>
      </c>
      <c r="AA65" s="126" t="s">
        <v>854</v>
      </c>
      <c r="AB65" s="124">
        <v>1</v>
      </c>
      <c r="AC65" s="126">
        <v>0</v>
      </c>
      <c r="AD65" s="124">
        <v>0</v>
      </c>
      <c r="AE65" s="126">
        <v>5</v>
      </c>
      <c r="AF65" s="124">
        <v>0</v>
      </c>
      <c r="AG65" s="126">
        <v>0</v>
      </c>
      <c r="AH65" s="126">
        <v>0</v>
      </c>
      <c r="AI65" s="126"/>
      <c r="AJ65" s="126"/>
      <c r="AK65" s="102">
        <v>211</v>
      </c>
    </row>
    <row r="66" spans="1:37" s="127" customFormat="1" ht="30">
      <c r="A66" s="120">
        <v>64</v>
      </c>
      <c r="B66" s="126" t="s">
        <v>220</v>
      </c>
      <c r="C66" s="130" t="s">
        <v>147</v>
      </c>
      <c r="D66" s="122" t="str">
        <f>"2001020"</f>
        <v>2001020</v>
      </c>
      <c r="E66" s="126" t="s">
        <v>22</v>
      </c>
      <c r="F66" s="126" t="s">
        <v>27</v>
      </c>
      <c r="G66" s="128" t="s">
        <v>224</v>
      </c>
      <c r="H66" s="126" t="s">
        <v>230</v>
      </c>
      <c r="I66" s="126"/>
      <c r="J66" s="126"/>
      <c r="K66" s="126">
        <v>1</v>
      </c>
      <c r="L66" s="124">
        <v>1</v>
      </c>
      <c r="M66" s="126">
        <v>0</v>
      </c>
      <c r="N66" s="126"/>
      <c r="O66" s="126">
        <v>2</v>
      </c>
      <c r="P66" s="126">
        <v>1</v>
      </c>
      <c r="Q66" s="126">
        <v>1</v>
      </c>
      <c r="R66" s="126">
        <v>1</v>
      </c>
      <c r="S66" s="126">
        <v>0</v>
      </c>
      <c r="T66" s="124"/>
      <c r="U66" s="126">
        <v>1</v>
      </c>
      <c r="V66" s="126"/>
      <c r="W66" s="126">
        <v>0</v>
      </c>
      <c r="X66" s="126">
        <v>0</v>
      </c>
      <c r="Y66" s="126"/>
      <c r="Z66" s="124">
        <v>0</v>
      </c>
      <c r="AA66" s="126">
        <v>0</v>
      </c>
      <c r="AB66" s="124">
        <v>0</v>
      </c>
      <c r="AC66" s="126">
        <v>0</v>
      </c>
      <c r="AD66" s="124">
        <v>0</v>
      </c>
      <c r="AE66" s="126">
        <v>6</v>
      </c>
      <c r="AF66" s="124">
        <v>0</v>
      </c>
      <c r="AG66" s="126">
        <v>0</v>
      </c>
      <c r="AH66" s="126">
        <v>0</v>
      </c>
      <c r="AI66" s="126" t="s">
        <v>834</v>
      </c>
      <c r="AJ66" s="126" t="s">
        <v>834</v>
      </c>
      <c r="AK66" s="102">
        <v>139</v>
      </c>
    </row>
    <row r="67" spans="1:37" s="127" customFormat="1" ht="15.75">
      <c r="A67" s="120">
        <v>65</v>
      </c>
      <c r="B67" s="126" t="s">
        <v>220</v>
      </c>
      <c r="C67" s="130" t="s">
        <v>149</v>
      </c>
      <c r="D67" s="122" t="str">
        <f>"2001021"</f>
        <v>2001021</v>
      </c>
      <c r="E67" s="126" t="s">
        <v>22</v>
      </c>
      <c r="F67" s="126" t="s">
        <v>27</v>
      </c>
      <c r="G67" s="128" t="s">
        <v>224</v>
      </c>
      <c r="H67" s="126" t="s">
        <v>230</v>
      </c>
      <c r="I67" s="126">
        <v>3</v>
      </c>
      <c r="J67" s="126">
        <v>2</v>
      </c>
      <c r="K67" s="126">
        <v>2</v>
      </c>
      <c r="L67" s="124">
        <v>1</v>
      </c>
      <c r="M67" s="126">
        <v>0</v>
      </c>
      <c r="N67" s="126"/>
      <c r="O67" s="126">
        <v>1</v>
      </c>
      <c r="P67" s="126"/>
      <c r="Q67" s="126">
        <v>0</v>
      </c>
      <c r="R67" s="126"/>
      <c r="S67" s="126">
        <v>0</v>
      </c>
      <c r="T67" s="124"/>
      <c r="U67" s="126">
        <v>1</v>
      </c>
      <c r="V67" s="126">
        <v>1</v>
      </c>
      <c r="W67" s="126">
        <v>0</v>
      </c>
      <c r="X67" s="126">
        <v>0</v>
      </c>
      <c r="Y67" s="126">
        <v>0</v>
      </c>
      <c r="Z67" s="124">
        <v>0</v>
      </c>
      <c r="AA67" s="126" t="s">
        <v>855</v>
      </c>
      <c r="AB67" s="124">
        <v>1</v>
      </c>
      <c r="AC67" s="126" t="s">
        <v>855</v>
      </c>
      <c r="AD67" s="124">
        <v>1</v>
      </c>
      <c r="AE67" s="126">
        <v>1</v>
      </c>
      <c r="AF67" s="124">
        <v>0</v>
      </c>
      <c r="AG67" s="126">
        <v>0</v>
      </c>
      <c r="AH67" s="126">
        <v>0</v>
      </c>
      <c r="AI67" s="126"/>
      <c r="AJ67" s="126"/>
      <c r="AK67" s="102">
        <v>199</v>
      </c>
    </row>
    <row r="68" spans="1:37" s="127" customFormat="1" ht="15.75">
      <c r="A68" s="120">
        <v>66</v>
      </c>
      <c r="B68" s="126" t="s">
        <v>220</v>
      </c>
      <c r="C68" s="130" t="s">
        <v>178</v>
      </c>
      <c r="D68" s="122" t="str">
        <f>"2001030"</f>
        <v>2001030</v>
      </c>
      <c r="E68" s="126" t="s">
        <v>22</v>
      </c>
      <c r="F68" s="126" t="s">
        <v>27</v>
      </c>
      <c r="G68" s="128" t="s">
        <v>224</v>
      </c>
      <c r="H68" s="126" t="s">
        <v>230</v>
      </c>
      <c r="I68" s="126">
        <v>0</v>
      </c>
      <c r="J68" s="126">
        <v>2</v>
      </c>
      <c r="K68" s="126">
        <v>0</v>
      </c>
      <c r="L68" s="124"/>
      <c r="M68" s="126">
        <v>0</v>
      </c>
      <c r="N68" s="126"/>
      <c r="O68" s="126">
        <v>0</v>
      </c>
      <c r="P68" s="126"/>
      <c r="Q68" s="126">
        <v>0</v>
      </c>
      <c r="R68" s="126"/>
      <c r="S68" s="126">
        <v>0</v>
      </c>
      <c r="T68" s="124"/>
      <c r="U68" s="126">
        <v>0</v>
      </c>
      <c r="V68" s="126"/>
      <c r="W68" s="126">
        <v>0</v>
      </c>
      <c r="X68" s="126">
        <v>0</v>
      </c>
      <c r="Y68" s="126">
        <v>0</v>
      </c>
      <c r="Z68" s="124">
        <v>0</v>
      </c>
      <c r="AA68" s="126">
        <v>0</v>
      </c>
      <c r="AB68" s="124">
        <v>0</v>
      </c>
      <c r="AC68" s="126">
        <v>0</v>
      </c>
      <c r="AD68" s="124">
        <v>0</v>
      </c>
      <c r="AE68" s="126">
        <v>0</v>
      </c>
      <c r="AF68" s="124">
        <v>0</v>
      </c>
      <c r="AG68" s="126">
        <v>0</v>
      </c>
      <c r="AH68" s="126">
        <v>0</v>
      </c>
      <c r="AI68" s="126" t="s">
        <v>841</v>
      </c>
      <c r="AJ68" s="126" t="s">
        <v>841</v>
      </c>
      <c r="AK68" s="102">
        <v>264</v>
      </c>
    </row>
    <row r="69" spans="1:37" s="127" customFormat="1" ht="15.75">
      <c r="A69" s="120">
        <v>67</v>
      </c>
      <c r="B69" s="126" t="s">
        <v>220</v>
      </c>
      <c r="C69" s="131" t="s">
        <v>150</v>
      </c>
      <c r="D69" s="122" t="str">
        <f>"2001040"</f>
        <v>2001040</v>
      </c>
      <c r="E69" s="126" t="s">
        <v>22</v>
      </c>
      <c r="F69" s="126" t="s">
        <v>27</v>
      </c>
      <c r="G69" s="128" t="s">
        <v>224</v>
      </c>
      <c r="H69" s="126" t="s">
        <v>230</v>
      </c>
      <c r="I69" s="126"/>
      <c r="J69" s="126"/>
      <c r="K69" s="126">
        <v>1</v>
      </c>
      <c r="L69" s="124">
        <v>1</v>
      </c>
      <c r="M69" s="126">
        <v>4</v>
      </c>
      <c r="N69" s="126">
        <v>3</v>
      </c>
      <c r="O69" s="126">
        <v>1</v>
      </c>
      <c r="P69" s="126"/>
      <c r="Q69" s="126">
        <v>1</v>
      </c>
      <c r="R69" s="126">
        <v>1</v>
      </c>
      <c r="S69" s="126">
        <v>0</v>
      </c>
      <c r="T69" s="124"/>
      <c r="U69" s="126">
        <v>0</v>
      </c>
      <c r="V69" s="126"/>
      <c r="W69" s="126">
        <v>1</v>
      </c>
      <c r="X69" s="126">
        <v>1</v>
      </c>
      <c r="Y69" s="126">
        <v>0</v>
      </c>
      <c r="Z69" s="124">
        <v>0</v>
      </c>
      <c r="AA69" s="126">
        <v>0</v>
      </c>
      <c r="AB69" s="124">
        <v>0</v>
      </c>
      <c r="AC69" s="126">
        <v>0</v>
      </c>
      <c r="AD69" s="124">
        <v>0</v>
      </c>
      <c r="AE69" s="126">
        <v>10</v>
      </c>
      <c r="AF69" s="124">
        <v>0</v>
      </c>
      <c r="AG69" s="126">
        <v>0</v>
      </c>
      <c r="AH69" s="126">
        <v>0</v>
      </c>
      <c r="AI69" s="126" t="s">
        <v>841</v>
      </c>
      <c r="AJ69" s="126" t="s">
        <v>841</v>
      </c>
      <c r="AK69" s="102">
        <v>198</v>
      </c>
    </row>
    <row r="70" spans="1:37" s="127" customFormat="1" ht="15.75">
      <c r="A70" s="120">
        <v>68</v>
      </c>
      <c r="B70" s="126" t="s">
        <v>220</v>
      </c>
      <c r="C70" s="130" t="s">
        <v>159</v>
      </c>
      <c r="D70" s="122" t="str">
        <f>"2001050"</f>
        <v>2001050</v>
      </c>
      <c r="E70" s="126" t="s">
        <v>22</v>
      </c>
      <c r="F70" s="126" t="s">
        <v>27</v>
      </c>
      <c r="G70" s="128" t="s">
        <v>224</v>
      </c>
      <c r="H70" s="126" t="s">
        <v>230</v>
      </c>
      <c r="I70" s="126"/>
      <c r="J70" s="126"/>
      <c r="K70" s="126"/>
      <c r="L70" s="124">
        <v>1</v>
      </c>
      <c r="M70" s="126"/>
      <c r="N70" s="126"/>
      <c r="O70" s="126"/>
      <c r="P70" s="126"/>
      <c r="Q70" s="126"/>
      <c r="R70" s="126"/>
      <c r="S70" s="126"/>
      <c r="T70" s="124"/>
      <c r="U70" s="126"/>
      <c r="V70" s="126"/>
      <c r="W70" s="126"/>
      <c r="X70" s="126"/>
      <c r="Y70" s="126"/>
      <c r="Z70" s="124">
        <v>0</v>
      </c>
      <c r="AA70" s="126"/>
      <c r="AB70" s="124">
        <v>0</v>
      </c>
      <c r="AC70" s="126"/>
      <c r="AD70" s="124">
        <v>0</v>
      </c>
      <c r="AE70" s="126"/>
      <c r="AF70" s="124">
        <v>0</v>
      </c>
      <c r="AG70" s="126"/>
      <c r="AH70" s="126"/>
      <c r="AI70" s="126"/>
      <c r="AJ70" s="126"/>
      <c r="AK70" s="102">
        <v>26</v>
      </c>
    </row>
    <row r="71" spans="1:37" s="127" customFormat="1" ht="15.75">
      <c r="A71" s="120">
        <v>69</v>
      </c>
      <c r="B71" s="126" t="s">
        <v>220</v>
      </c>
      <c r="C71" s="130" t="s">
        <v>161</v>
      </c>
      <c r="D71" s="122" t="str">
        <f>"2001060"</f>
        <v>2001060</v>
      </c>
      <c r="E71" s="126" t="s">
        <v>22</v>
      </c>
      <c r="F71" s="126" t="s">
        <v>27</v>
      </c>
      <c r="G71" s="128" t="s">
        <v>224</v>
      </c>
      <c r="H71" s="126" t="s">
        <v>222</v>
      </c>
      <c r="I71" s="126">
        <v>25</v>
      </c>
      <c r="J71" s="126">
        <v>4</v>
      </c>
      <c r="K71" s="126">
        <v>4</v>
      </c>
      <c r="L71" s="124">
        <v>1</v>
      </c>
      <c r="M71" s="126">
        <v>2</v>
      </c>
      <c r="N71" s="126">
        <v>1</v>
      </c>
      <c r="O71" s="126">
        <v>2</v>
      </c>
      <c r="P71" s="126"/>
      <c r="Q71" s="126">
        <v>0</v>
      </c>
      <c r="R71" s="126"/>
      <c r="S71" s="126">
        <v>0</v>
      </c>
      <c r="T71" s="124"/>
      <c r="U71" s="126">
        <v>1</v>
      </c>
      <c r="V71" s="126">
        <v>1</v>
      </c>
      <c r="W71" s="126">
        <v>1</v>
      </c>
      <c r="X71" s="126">
        <v>1</v>
      </c>
      <c r="Y71" s="126">
        <v>1</v>
      </c>
      <c r="Z71" s="124">
        <v>1</v>
      </c>
      <c r="AA71" s="126" t="s">
        <v>861</v>
      </c>
      <c r="AB71" s="124">
        <v>1</v>
      </c>
      <c r="AC71" s="126">
        <v>0</v>
      </c>
      <c r="AD71" s="124">
        <v>0</v>
      </c>
      <c r="AE71" s="126">
        <v>2</v>
      </c>
      <c r="AF71" s="124">
        <v>0</v>
      </c>
      <c r="AG71" s="126">
        <v>0</v>
      </c>
      <c r="AH71" s="126">
        <v>0</v>
      </c>
      <c r="AI71" s="126"/>
      <c r="AJ71" s="126"/>
      <c r="AK71" s="102">
        <v>268</v>
      </c>
    </row>
    <row r="72" spans="1:37" s="127" customFormat="1" ht="15.75">
      <c r="A72" s="120">
        <v>70</v>
      </c>
      <c r="B72" s="126" t="s">
        <v>220</v>
      </c>
      <c r="C72" s="130" t="s">
        <v>174</v>
      </c>
      <c r="D72" s="122" t="str">
        <f>"2001061"</f>
        <v>2001061</v>
      </c>
      <c r="E72" s="126" t="s">
        <v>22</v>
      </c>
      <c r="F72" s="126" t="s">
        <v>27</v>
      </c>
      <c r="G72" s="128" t="s">
        <v>224</v>
      </c>
      <c r="H72" s="126" t="s">
        <v>239</v>
      </c>
      <c r="I72" s="126">
        <v>6</v>
      </c>
      <c r="J72" s="126">
        <v>2</v>
      </c>
      <c r="K72" s="126">
        <v>4</v>
      </c>
      <c r="L72" s="124">
        <v>1</v>
      </c>
      <c r="M72" s="126">
        <v>2</v>
      </c>
      <c r="N72" s="126">
        <v>1</v>
      </c>
      <c r="O72" s="126">
        <v>1</v>
      </c>
      <c r="P72" s="126"/>
      <c r="Q72" s="126">
        <v>1</v>
      </c>
      <c r="R72" s="126">
        <v>1</v>
      </c>
      <c r="S72" s="126">
        <v>0</v>
      </c>
      <c r="T72" s="124"/>
      <c r="U72" s="126">
        <v>0</v>
      </c>
      <c r="V72" s="126"/>
      <c r="W72" s="126">
        <v>0</v>
      </c>
      <c r="X72" s="126">
        <v>0</v>
      </c>
      <c r="Y72" s="126">
        <v>0</v>
      </c>
      <c r="Z72" s="124">
        <v>0</v>
      </c>
      <c r="AA72" s="126">
        <v>0</v>
      </c>
      <c r="AB72" s="124">
        <v>0</v>
      </c>
      <c r="AC72" s="126">
        <v>0</v>
      </c>
      <c r="AD72" s="124">
        <v>0</v>
      </c>
      <c r="AE72" s="126">
        <v>0</v>
      </c>
      <c r="AF72" s="124">
        <v>0</v>
      </c>
      <c r="AG72" s="126">
        <v>0</v>
      </c>
      <c r="AH72" s="126">
        <v>0</v>
      </c>
      <c r="AI72" s="126"/>
      <c r="AJ72" s="126"/>
      <c r="AK72" s="102">
        <v>118</v>
      </c>
    </row>
    <row r="73" spans="1:37" s="127" customFormat="1" ht="15.75">
      <c r="A73" s="120">
        <v>71</v>
      </c>
      <c r="B73" s="126" t="s">
        <v>220</v>
      </c>
      <c r="C73" s="130" t="s">
        <v>148</v>
      </c>
      <c r="D73" s="122" t="str">
        <f>"2001065"</f>
        <v>2001065</v>
      </c>
      <c r="E73" s="126" t="s">
        <v>22</v>
      </c>
      <c r="F73" s="126" t="s">
        <v>27</v>
      </c>
      <c r="G73" s="119" t="s">
        <v>224</v>
      </c>
      <c r="H73" s="126"/>
      <c r="I73" s="126">
        <v>4</v>
      </c>
      <c r="J73" s="126">
        <v>1</v>
      </c>
      <c r="K73" s="126">
        <v>4</v>
      </c>
      <c r="L73" s="124">
        <v>2</v>
      </c>
      <c r="M73" s="126">
        <v>2</v>
      </c>
      <c r="N73" s="126">
        <v>1</v>
      </c>
      <c r="O73" s="126">
        <v>1</v>
      </c>
      <c r="P73" s="126"/>
      <c r="Q73" s="126">
        <v>0</v>
      </c>
      <c r="R73" s="126"/>
      <c r="S73" s="126">
        <v>0</v>
      </c>
      <c r="T73" s="124"/>
      <c r="U73" s="126">
        <v>1</v>
      </c>
      <c r="V73" s="126">
        <v>1</v>
      </c>
      <c r="W73" s="126">
        <v>2</v>
      </c>
      <c r="X73" s="126">
        <v>2</v>
      </c>
      <c r="Y73" s="126">
        <v>1</v>
      </c>
      <c r="Z73" s="124">
        <v>1</v>
      </c>
      <c r="AA73" s="126">
        <v>0</v>
      </c>
      <c r="AB73" s="124">
        <v>0</v>
      </c>
      <c r="AC73" s="126">
        <v>0</v>
      </c>
      <c r="AD73" s="124">
        <v>0</v>
      </c>
      <c r="AE73" s="126">
        <v>5</v>
      </c>
      <c r="AF73" s="124">
        <v>0</v>
      </c>
      <c r="AG73" s="126">
        <v>0</v>
      </c>
      <c r="AH73" s="126">
        <v>0</v>
      </c>
      <c r="AI73" s="126"/>
      <c r="AJ73" s="126"/>
      <c r="AK73" s="102">
        <v>184</v>
      </c>
    </row>
    <row r="74" spans="1:37" s="127" customFormat="1" ht="15.75">
      <c r="A74" s="120">
        <v>72</v>
      </c>
      <c r="B74" s="126" t="s">
        <v>220</v>
      </c>
      <c r="C74" s="130" t="s">
        <v>151</v>
      </c>
      <c r="D74" s="122" t="str">
        <f>"2001070"</f>
        <v>2001070</v>
      </c>
      <c r="E74" s="126" t="s">
        <v>22</v>
      </c>
      <c r="F74" s="126" t="s">
        <v>27</v>
      </c>
      <c r="G74" s="128" t="s">
        <v>224</v>
      </c>
      <c r="H74" s="126" t="s">
        <v>230</v>
      </c>
      <c r="I74" s="126">
        <v>3</v>
      </c>
      <c r="J74" s="126">
        <v>1</v>
      </c>
      <c r="K74" s="126">
        <v>3</v>
      </c>
      <c r="L74" s="124">
        <v>1</v>
      </c>
      <c r="M74" s="126">
        <v>0</v>
      </c>
      <c r="N74" s="126"/>
      <c r="O74" s="126">
        <v>1</v>
      </c>
      <c r="P74" s="126">
        <v>1</v>
      </c>
      <c r="Q74" s="126">
        <v>0</v>
      </c>
      <c r="R74" s="126"/>
      <c r="S74" s="126">
        <v>1</v>
      </c>
      <c r="T74" s="124"/>
      <c r="U74" s="126">
        <v>1</v>
      </c>
      <c r="V74" s="126"/>
      <c r="W74" s="126">
        <v>1</v>
      </c>
      <c r="X74" s="126">
        <v>1</v>
      </c>
      <c r="Y74" s="126">
        <v>1</v>
      </c>
      <c r="Z74" s="124">
        <v>1</v>
      </c>
      <c r="AA74" s="126">
        <v>1</v>
      </c>
      <c r="AB74" s="124">
        <v>0</v>
      </c>
      <c r="AC74" s="126">
        <v>1</v>
      </c>
      <c r="AD74" s="124">
        <v>1</v>
      </c>
      <c r="AE74" s="126">
        <v>1</v>
      </c>
      <c r="AF74" s="124">
        <v>0</v>
      </c>
      <c r="AG74" s="126">
        <v>0</v>
      </c>
      <c r="AH74" s="126">
        <v>0</v>
      </c>
      <c r="AI74" s="126"/>
      <c r="AJ74" s="126"/>
      <c r="AK74" s="102">
        <v>187</v>
      </c>
    </row>
    <row r="75" spans="1:37" s="127" customFormat="1" ht="15.75">
      <c r="A75" s="120">
        <v>73</v>
      </c>
      <c r="B75" s="126" t="s">
        <v>220</v>
      </c>
      <c r="C75" s="130" t="s">
        <v>152</v>
      </c>
      <c r="D75" s="122" t="str">
        <f>"2001071"</f>
        <v>2001071</v>
      </c>
      <c r="E75" s="126" t="s">
        <v>22</v>
      </c>
      <c r="F75" s="126" t="s">
        <v>27</v>
      </c>
      <c r="G75" s="128" t="s">
        <v>224</v>
      </c>
      <c r="H75" s="126" t="s">
        <v>230</v>
      </c>
      <c r="I75" s="126"/>
      <c r="J75" s="126"/>
      <c r="K75" s="126">
        <v>1</v>
      </c>
      <c r="L75" s="124">
        <v>1</v>
      </c>
      <c r="M75" s="126">
        <v>1</v>
      </c>
      <c r="N75" s="126">
        <v>1</v>
      </c>
      <c r="O75" s="126">
        <v>2</v>
      </c>
      <c r="P75" s="126"/>
      <c r="Q75" s="126">
        <v>1</v>
      </c>
      <c r="R75" s="126">
        <v>1</v>
      </c>
      <c r="S75" s="126">
        <v>0</v>
      </c>
      <c r="T75" s="124"/>
      <c r="U75" s="126">
        <v>0</v>
      </c>
      <c r="V75" s="126"/>
      <c r="W75" s="126">
        <v>1</v>
      </c>
      <c r="X75" s="126">
        <v>1</v>
      </c>
      <c r="Y75" s="126"/>
      <c r="Z75" s="124">
        <v>0</v>
      </c>
      <c r="AA75" s="126" t="s">
        <v>856</v>
      </c>
      <c r="AB75" s="124">
        <v>1</v>
      </c>
      <c r="AC75" s="126" t="s">
        <v>856</v>
      </c>
      <c r="AD75" s="124">
        <v>1</v>
      </c>
      <c r="AE75" s="126">
        <v>2</v>
      </c>
      <c r="AF75" s="124">
        <v>0</v>
      </c>
      <c r="AG75" s="126">
        <v>0</v>
      </c>
      <c r="AH75" s="126">
        <v>0</v>
      </c>
      <c r="AI75" s="126" t="s">
        <v>841</v>
      </c>
      <c r="AJ75" s="126" t="s">
        <v>841</v>
      </c>
      <c r="AK75" s="102">
        <v>132</v>
      </c>
    </row>
    <row r="76" spans="1:37" s="127" customFormat="1" ht="15.75">
      <c r="A76" s="120">
        <v>74</v>
      </c>
      <c r="B76" s="126" t="s">
        <v>220</v>
      </c>
      <c r="C76" s="130" t="s">
        <v>153</v>
      </c>
      <c r="D76" s="122" t="str">
        <f>"2001072"</f>
        <v>2001072</v>
      </c>
      <c r="E76" s="126" t="s">
        <v>22</v>
      </c>
      <c r="F76" s="126" t="s">
        <v>27</v>
      </c>
      <c r="G76" s="128" t="s">
        <v>224</v>
      </c>
      <c r="H76" s="126" t="s">
        <v>230</v>
      </c>
      <c r="I76" s="126">
        <v>2</v>
      </c>
      <c r="J76" s="126">
        <v>1</v>
      </c>
      <c r="K76" s="126">
        <v>2</v>
      </c>
      <c r="L76" s="124">
        <v>1</v>
      </c>
      <c r="M76" s="126">
        <v>2</v>
      </c>
      <c r="N76" s="126">
        <v>1</v>
      </c>
      <c r="O76" s="126">
        <v>0</v>
      </c>
      <c r="P76" s="126"/>
      <c r="Q76" s="126">
        <v>1</v>
      </c>
      <c r="R76" s="126">
        <v>1</v>
      </c>
      <c r="S76" s="126">
        <v>0</v>
      </c>
      <c r="T76" s="124"/>
      <c r="U76" s="126">
        <v>1</v>
      </c>
      <c r="V76" s="126"/>
      <c r="W76" s="126">
        <v>0</v>
      </c>
      <c r="X76" s="126">
        <v>0</v>
      </c>
      <c r="Y76" s="126">
        <v>0</v>
      </c>
      <c r="Z76" s="124">
        <v>0</v>
      </c>
      <c r="AA76" s="126">
        <v>0</v>
      </c>
      <c r="AB76" s="124">
        <v>0</v>
      </c>
      <c r="AC76" s="126">
        <v>0</v>
      </c>
      <c r="AD76" s="124">
        <v>0</v>
      </c>
      <c r="AE76" s="126">
        <v>0</v>
      </c>
      <c r="AF76" s="124">
        <v>0</v>
      </c>
      <c r="AG76" s="126">
        <v>0</v>
      </c>
      <c r="AH76" s="126">
        <v>0</v>
      </c>
      <c r="AI76" s="126"/>
      <c r="AJ76" s="126"/>
      <c r="AK76" s="102">
        <v>216</v>
      </c>
    </row>
    <row r="77" spans="1:37" s="127" customFormat="1" ht="15.75">
      <c r="A77" s="120">
        <v>75</v>
      </c>
      <c r="B77" s="126" t="s">
        <v>220</v>
      </c>
      <c r="C77" s="130" t="s">
        <v>154</v>
      </c>
      <c r="D77" s="122" t="str">
        <f>"2001073"</f>
        <v>2001073</v>
      </c>
      <c r="E77" s="126" t="s">
        <v>22</v>
      </c>
      <c r="F77" s="126" t="s">
        <v>27</v>
      </c>
      <c r="G77" s="128" t="s">
        <v>224</v>
      </c>
      <c r="H77" s="126" t="s">
        <v>230</v>
      </c>
      <c r="I77" s="126">
        <v>10</v>
      </c>
      <c r="J77" s="126">
        <v>3</v>
      </c>
      <c r="K77" s="126">
        <v>10</v>
      </c>
      <c r="L77" s="124">
        <v>2</v>
      </c>
      <c r="M77" s="126">
        <v>5</v>
      </c>
      <c r="N77" s="126">
        <v>1</v>
      </c>
      <c r="O77" s="126">
        <v>3</v>
      </c>
      <c r="P77" s="126"/>
      <c r="Q77" s="126">
        <v>2</v>
      </c>
      <c r="R77" s="126">
        <v>1</v>
      </c>
      <c r="S77" s="126">
        <v>1</v>
      </c>
      <c r="T77" s="124"/>
      <c r="U77" s="126">
        <v>2</v>
      </c>
      <c r="V77" s="126"/>
      <c r="W77" s="126">
        <v>4</v>
      </c>
      <c r="X77" s="126">
        <v>4</v>
      </c>
      <c r="Y77" s="126">
        <v>1</v>
      </c>
      <c r="Z77" s="124">
        <v>1</v>
      </c>
      <c r="AA77" s="126" t="s">
        <v>857</v>
      </c>
      <c r="AB77" s="124">
        <v>1</v>
      </c>
      <c r="AC77" s="126" t="s">
        <v>858</v>
      </c>
      <c r="AD77" s="124">
        <v>1</v>
      </c>
      <c r="AE77" s="126">
        <v>0</v>
      </c>
      <c r="AF77" s="124">
        <v>0</v>
      </c>
      <c r="AG77" s="126">
        <v>0</v>
      </c>
      <c r="AH77" s="126">
        <v>0</v>
      </c>
      <c r="AI77" s="126"/>
      <c r="AJ77" s="126"/>
      <c r="AK77" s="102">
        <v>133</v>
      </c>
    </row>
    <row r="78" spans="1:37" s="127" customFormat="1" ht="15.75">
      <c r="A78" s="120">
        <v>76</v>
      </c>
      <c r="B78" s="126" t="s">
        <v>220</v>
      </c>
      <c r="C78" s="130" t="s">
        <v>155</v>
      </c>
      <c r="D78" s="122" t="str">
        <f>"2001075"</f>
        <v>2001075</v>
      </c>
      <c r="E78" s="126" t="s">
        <v>22</v>
      </c>
      <c r="F78" s="126" t="s">
        <v>27</v>
      </c>
      <c r="G78" s="128" t="s">
        <v>224</v>
      </c>
      <c r="H78" s="126" t="s">
        <v>230</v>
      </c>
      <c r="I78" s="126">
        <v>0</v>
      </c>
      <c r="J78" s="126">
        <v>0</v>
      </c>
      <c r="K78" s="126">
        <v>1</v>
      </c>
      <c r="L78" s="124">
        <v>1</v>
      </c>
      <c r="M78" s="126">
        <v>0</v>
      </c>
      <c r="N78" s="126"/>
      <c r="O78" s="126">
        <v>0</v>
      </c>
      <c r="P78" s="126"/>
      <c r="Q78" s="126">
        <v>0</v>
      </c>
      <c r="R78" s="126"/>
      <c r="S78" s="126">
        <v>0</v>
      </c>
      <c r="T78" s="124"/>
      <c r="U78" s="126">
        <v>1</v>
      </c>
      <c r="V78" s="126">
        <v>1</v>
      </c>
      <c r="W78" s="126">
        <v>0</v>
      </c>
      <c r="X78" s="126">
        <v>0</v>
      </c>
      <c r="Y78" s="126">
        <v>0</v>
      </c>
      <c r="Z78" s="124">
        <v>0</v>
      </c>
      <c r="AA78" s="126">
        <v>0</v>
      </c>
      <c r="AB78" s="124">
        <v>0</v>
      </c>
      <c r="AC78" s="126">
        <v>0</v>
      </c>
      <c r="AD78" s="124">
        <v>0</v>
      </c>
      <c r="AE78" s="126">
        <v>3</v>
      </c>
      <c r="AF78" s="124">
        <v>0</v>
      </c>
      <c r="AG78" s="126">
        <v>0</v>
      </c>
      <c r="AH78" s="126">
        <v>0</v>
      </c>
      <c r="AI78" s="126"/>
      <c r="AJ78" s="126"/>
      <c r="AK78" s="102">
        <v>135</v>
      </c>
    </row>
    <row r="79" spans="1:37" s="127" customFormat="1" ht="30">
      <c r="A79" s="120">
        <v>77</v>
      </c>
      <c r="B79" s="126" t="s">
        <v>220</v>
      </c>
      <c r="C79" s="130" t="s">
        <v>142</v>
      </c>
      <c r="D79" s="122" t="str">
        <f>"2001077"</f>
        <v>2001077</v>
      </c>
      <c r="E79" s="126" t="s">
        <v>22</v>
      </c>
      <c r="F79" s="126" t="s">
        <v>27</v>
      </c>
      <c r="G79" s="128" t="s">
        <v>224</v>
      </c>
      <c r="H79" s="126" t="s">
        <v>230</v>
      </c>
      <c r="I79" s="126">
        <v>0</v>
      </c>
      <c r="J79" s="126">
        <v>0</v>
      </c>
      <c r="K79" s="126">
        <v>3</v>
      </c>
      <c r="L79" s="124">
        <v>2</v>
      </c>
      <c r="M79" s="126">
        <v>0</v>
      </c>
      <c r="N79" s="126"/>
      <c r="O79" s="126">
        <v>0</v>
      </c>
      <c r="P79" s="126"/>
      <c r="Q79" s="126">
        <v>0</v>
      </c>
      <c r="R79" s="126"/>
      <c r="S79" s="126">
        <v>0</v>
      </c>
      <c r="T79" s="124"/>
      <c r="U79" s="126">
        <v>0</v>
      </c>
      <c r="V79" s="126"/>
      <c r="W79" s="126">
        <v>2</v>
      </c>
      <c r="X79" s="126">
        <v>2</v>
      </c>
      <c r="Y79" s="126">
        <v>0</v>
      </c>
      <c r="Z79" s="124">
        <v>0</v>
      </c>
      <c r="AA79" s="126" t="s">
        <v>853</v>
      </c>
      <c r="AB79" s="124">
        <v>1</v>
      </c>
      <c r="AC79" s="126">
        <v>0</v>
      </c>
      <c r="AD79" s="124">
        <v>0</v>
      </c>
      <c r="AE79" s="126">
        <v>2</v>
      </c>
      <c r="AF79" s="124">
        <v>0</v>
      </c>
      <c r="AG79" s="126">
        <v>0</v>
      </c>
      <c r="AH79" s="126">
        <v>0</v>
      </c>
      <c r="AI79" s="126"/>
      <c r="AJ79" s="126"/>
      <c r="AK79" s="102">
        <v>203</v>
      </c>
    </row>
    <row r="80" spans="1:37" s="127" customFormat="1" ht="15.75">
      <c r="A80" s="120">
        <v>78</v>
      </c>
      <c r="B80" s="126" t="s">
        <v>220</v>
      </c>
      <c r="C80" s="130" t="s">
        <v>143</v>
      </c>
      <c r="D80" s="122" t="str">
        <f>"2001078"</f>
        <v>2001078</v>
      </c>
      <c r="E80" s="126" t="s">
        <v>22</v>
      </c>
      <c r="F80" s="126" t="s">
        <v>27</v>
      </c>
      <c r="G80" s="128" t="s">
        <v>224</v>
      </c>
      <c r="H80" s="126" t="s">
        <v>230</v>
      </c>
      <c r="I80" s="126">
        <v>7</v>
      </c>
      <c r="J80" s="126">
        <v>2</v>
      </c>
      <c r="K80" s="126">
        <v>2</v>
      </c>
      <c r="L80" s="124">
        <v>1</v>
      </c>
      <c r="M80" s="126">
        <v>1</v>
      </c>
      <c r="N80" s="126">
        <v>1</v>
      </c>
      <c r="O80" s="126">
        <v>1</v>
      </c>
      <c r="P80" s="126"/>
      <c r="Q80" s="126">
        <v>1</v>
      </c>
      <c r="R80" s="126">
        <v>1</v>
      </c>
      <c r="S80" s="126">
        <v>1</v>
      </c>
      <c r="T80" s="124"/>
      <c r="U80" s="126">
        <v>1</v>
      </c>
      <c r="V80" s="126"/>
      <c r="W80" s="126">
        <v>2</v>
      </c>
      <c r="X80" s="126">
        <v>2</v>
      </c>
      <c r="Y80" s="126">
        <v>0</v>
      </c>
      <c r="Z80" s="124">
        <v>0</v>
      </c>
      <c r="AA80" s="126">
        <v>1</v>
      </c>
      <c r="AB80" s="124">
        <v>0</v>
      </c>
      <c r="AC80" s="126">
        <v>1</v>
      </c>
      <c r="AD80" s="124">
        <v>1</v>
      </c>
      <c r="AE80" s="126">
        <v>1</v>
      </c>
      <c r="AF80" s="124">
        <v>0</v>
      </c>
      <c r="AG80" s="126">
        <v>0</v>
      </c>
      <c r="AH80" s="126">
        <v>0</v>
      </c>
      <c r="AI80" s="126"/>
      <c r="AJ80" s="126"/>
      <c r="AK80" s="102">
        <v>163</v>
      </c>
    </row>
    <row r="81" spans="1:37" s="127" customFormat="1" ht="30">
      <c r="A81" s="120">
        <v>79</v>
      </c>
      <c r="B81" s="126" t="s">
        <v>220</v>
      </c>
      <c r="C81" s="130" t="s">
        <v>176</v>
      </c>
      <c r="D81" s="122" t="str">
        <f>"2001079"</f>
        <v>2001079</v>
      </c>
      <c r="E81" s="126" t="s">
        <v>22</v>
      </c>
      <c r="F81" s="126" t="s">
        <v>27</v>
      </c>
      <c r="G81" s="128" t="s">
        <v>224</v>
      </c>
      <c r="H81" s="126" t="s">
        <v>244</v>
      </c>
      <c r="I81" s="126">
        <v>0</v>
      </c>
      <c r="J81" s="126">
        <v>0</v>
      </c>
      <c r="K81" s="126">
        <v>1</v>
      </c>
      <c r="L81" s="124">
        <v>1</v>
      </c>
      <c r="M81" s="126">
        <v>4</v>
      </c>
      <c r="N81" s="126">
        <v>1</v>
      </c>
      <c r="O81" s="126">
        <v>3</v>
      </c>
      <c r="P81" s="126"/>
      <c r="Q81" s="126">
        <v>1</v>
      </c>
      <c r="R81" s="126">
        <v>1</v>
      </c>
      <c r="S81" s="126">
        <v>1</v>
      </c>
      <c r="T81" s="124"/>
      <c r="U81" s="126">
        <v>1</v>
      </c>
      <c r="V81" s="126"/>
      <c r="W81" s="126">
        <v>3</v>
      </c>
      <c r="X81" s="126">
        <v>3</v>
      </c>
      <c r="Y81" s="126"/>
      <c r="Z81" s="124">
        <v>0</v>
      </c>
      <c r="AA81" s="126">
        <v>1</v>
      </c>
      <c r="AB81" s="124">
        <v>1</v>
      </c>
      <c r="AC81" s="126">
        <v>1</v>
      </c>
      <c r="AD81" s="124">
        <v>1</v>
      </c>
      <c r="AE81" s="126">
        <v>2</v>
      </c>
      <c r="AF81" s="124">
        <v>0</v>
      </c>
      <c r="AG81" s="126">
        <v>0</v>
      </c>
      <c r="AH81" s="126">
        <v>0</v>
      </c>
      <c r="AI81" s="126" t="s">
        <v>841</v>
      </c>
      <c r="AJ81" s="126" t="s">
        <v>841</v>
      </c>
      <c r="AK81" s="102">
        <v>75</v>
      </c>
    </row>
    <row r="82" spans="1:37" s="127" customFormat="1" ht="15.75">
      <c r="A82" s="120">
        <v>80</v>
      </c>
      <c r="B82" s="126" t="s">
        <v>220</v>
      </c>
      <c r="C82" s="130" t="s">
        <v>162</v>
      </c>
      <c r="D82" s="122" t="str">
        <f>"2001081"</f>
        <v>2001081</v>
      </c>
      <c r="E82" s="126" t="s">
        <v>22</v>
      </c>
      <c r="F82" s="126" t="s">
        <v>27</v>
      </c>
      <c r="G82" s="128" t="s">
        <v>224</v>
      </c>
      <c r="H82" s="126" t="s">
        <v>230</v>
      </c>
      <c r="I82" s="126"/>
      <c r="J82" s="126"/>
      <c r="K82" s="126">
        <v>1</v>
      </c>
      <c r="L82" s="124">
        <v>1</v>
      </c>
      <c r="M82" s="126">
        <v>2</v>
      </c>
      <c r="N82" s="126">
        <v>1</v>
      </c>
      <c r="O82" s="126">
        <v>3</v>
      </c>
      <c r="P82" s="126">
        <v>2</v>
      </c>
      <c r="Q82" s="126">
        <v>2</v>
      </c>
      <c r="R82" s="126">
        <v>1</v>
      </c>
      <c r="S82" s="126">
        <v>2</v>
      </c>
      <c r="T82" s="124"/>
      <c r="U82" s="126">
        <v>2</v>
      </c>
      <c r="V82" s="126"/>
      <c r="W82" s="126">
        <v>3</v>
      </c>
      <c r="X82" s="126">
        <v>3</v>
      </c>
      <c r="Y82" s="126"/>
      <c r="Z82" s="124">
        <v>0</v>
      </c>
      <c r="AA82" s="126">
        <v>1</v>
      </c>
      <c r="AB82" s="124">
        <v>1</v>
      </c>
      <c r="AC82" s="126">
        <v>1</v>
      </c>
      <c r="AD82" s="124">
        <v>1</v>
      </c>
      <c r="AE82" s="126">
        <v>7</v>
      </c>
      <c r="AF82" s="124">
        <v>0</v>
      </c>
      <c r="AG82" s="126">
        <v>0</v>
      </c>
      <c r="AH82" s="126">
        <v>0</v>
      </c>
      <c r="AI82" s="126" t="s">
        <v>841</v>
      </c>
      <c r="AJ82" s="126" t="s">
        <v>841</v>
      </c>
      <c r="AK82" s="102">
        <v>217</v>
      </c>
    </row>
    <row r="83" spans="1:37" s="127" customFormat="1" ht="15.75">
      <c r="A83" s="120">
        <v>81</v>
      </c>
      <c r="B83" s="126" t="s">
        <v>220</v>
      </c>
      <c r="C83" s="130" t="s">
        <v>156</v>
      </c>
      <c r="D83" s="122" t="str">
        <f>"2003010"</f>
        <v>2003010</v>
      </c>
      <c r="E83" s="126" t="s">
        <v>22</v>
      </c>
      <c r="F83" s="126" t="s">
        <v>27</v>
      </c>
      <c r="G83" s="128" t="s">
        <v>224</v>
      </c>
      <c r="H83" s="126" t="s">
        <v>230</v>
      </c>
      <c r="I83" s="126">
        <v>7</v>
      </c>
      <c r="J83" s="126">
        <v>2</v>
      </c>
      <c r="K83" s="126">
        <v>3</v>
      </c>
      <c r="L83" s="124">
        <v>1</v>
      </c>
      <c r="M83" s="126">
        <v>1</v>
      </c>
      <c r="N83" s="126">
        <v>1</v>
      </c>
      <c r="O83" s="126">
        <v>3</v>
      </c>
      <c r="P83" s="126"/>
      <c r="Q83" s="126">
        <v>1</v>
      </c>
      <c r="R83" s="126">
        <v>1</v>
      </c>
      <c r="S83" s="126">
        <v>0</v>
      </c>
      <c r="T83" s="124"/>
      <c r="U83" s="126">
        <v>1</v>
      </c>
      <c r="V83" s="126"/>
      <c r="W83" s="126">
        <v>1</v>
      </c>
      <c r="X83" s="126">
        <v>1</v>
      </c>
      <c r="Y83" s="126">
        <v>1</v>
      </c>
      <c r="Z83" s="124">
        <v>1</v>
      </c>
      <c r="AA83" s="126">
        <v>0</v>
      </c>
      <c r="AB83" s="124">
        <v>0</v>
      </c>
      <c r="AC83" s="126">
        <v>0</v>
      </c>
      <c r="AD83" s="124">
        <v>0</v>
      </c>
      <c r="AE83" s="126">
        <v>0</v>
      </c>
      <c r="AF83" s="124">
        <v>0</v>
      </c>
      <c r="AG83" s="126">
        <v>0</v>
      </c>
      <c r="AH83" s="126">
        <v>0</v>
      </c>
      <c r="AI83" s="126"/>
      <c r="AJ83" s="126"/>
      <c r="AK83" s="102">
        <v>25</v>
      </c>
    </row>
    <row r="84" spans="1:37" s="127" customFormat="1" ht="15.75">
      <c r="A84" s="120">
        <v>82</v>
      </c>
      <c r="B84" s="126" t="s">
        <v>220</v>
      </c>
      <c r="C84" s="130" t="s">
        <v>167</v>
      </c>
      <c r="D84" s="122" t="str">
        <f>"2012010"</f>
        <v>2012010</v>
      </c>
      <c r="E84" s="126" t="s">
        <v>22</v>
      </c>
      <c r="F84" s="126" t="s">
        <v>27</v>
      </c>
      <c r="G84" s="128" t="s">
        <v>224</v>
      </c>
      <c r="H84" s="126" t="s">
        <v>240</v>
      </c>
      <c r="I84" s="126"/>
      <c r="J84" s="126"/>
      <c r="K84" s="126">
        <v>1</v>
      </c>
      <c r="L84" s="124">
        <v>1</v>
      </c>
      <c r="M84" s="126">
        <v>3</v>
      </c>
      <c r="N84" s="126">
        <v>1</v>
      </c>
      <c r="O84" s="126">
        <v>10</v>
      </c>
      <c r="P84" s="126"/>
      <c r="Q84" s="126">
        <v>3</v>
      </c>
      <c r="R84" s="126">
        <v>1</v>
      </c>
      <c r="S84" s="126">
        <v>1</v>
      </c>
      <c r="T84" s="124"/>
      <c r="U84" s="126">
        <v>1</v>
      </c>
      <c r="V84" s="126"/>
      <c r="W84" s="126">
        <v>3</v>
      </c>
      <c r="X84" s="126">
        <v>3</v>
      </c>
      <c r="Y84" s="126"/>
      <c r="Z84" s="124">
        <v>0</v>
      </c>
      <c r="AA84" s="126" t="s">
        <v>862</v>
      </c>
      <c r="AB84" s="124">
        <v>1</v>
      </c>
      <c r="AC84" s="126" t="s">
        <v>862</v>
      </c>
      <c r="AD84" s="124">
        <v>1</v>
      </c>
      <c r="AE84" s="126">
        <v>10</v>
      </c>
      <c r="AF84" s="124">
        <v>0</v>
      </c>
      <c r="AG84" s="126">
        <v>0</v>
      </c>
      <c r="AH84" s="126">
        <v>0</v>
      </c>
      <c r="AI84" s="126" t="s">
        <v>841</v>
      </c>
      <c r="AJ84" s="126" t="s">
        <v>841</v>
      </c>
      <c r="AK84" s="102">
        <v>148</v>
      </c>
    </row>
    <row r="85" spans="1:37" s="127" customFormat="1" ht="15.75">
      <c r="A85" s="120">
        <v>83</v>
      </c>
      <c r="B85" s="126" t="s">
        <v>220</v>
      </c>
      <c r="C85" s="130" t="s">
        <v>173</v>
      </c>
      <c r="D85" s="122" t="str">
        <f>"2012050"</f>
        <v>2012050</v>
      </c>
      <c r="E85" s="126" t="s">
        <v>22</v>
      </c>
      <c r="F85" s="126" t="s">
        <v>27</v>
      </c>
      <c r="G85" s="128" t="s">
        <v>224</v>
      </c>
      <c r="H85" s="126" t="s">
        <v>242</v>
      </c>
      <c r="I85" s="126">
        <v>0</v>
      </c>
      <c r="J85" s="126">
        <v>0</v>
      </c>
      <c r="K85" s="126">
        <v>3</v>
      </c>
      <c r="L85" s="124">
        <v>1</v>
      </c>
      <c r="M85" s="126">
        <v>0</v>
      </c>
      <c r="N85" s="126"/>
      <c r="O85" s="126">
        <v>0</v>
      </c>
      <c r="P85" s="126"/>
      <c r="Q85" s="126">
        <v>1</v>
      </c>
      <c r="R85" s="126">
        <v>1</v>
      </c>
      <c r="S85" s="126">
        <v>0</v>
      </c>
      <c r="T85" s="124"/>
      <c r="U85" s="126">
        <v>1</v>
      </c>
      <c r="V85" s="126"/>
      <c r="W85" s="126">
        <v>2</v>
      </c>
      <c r="X85" s="126">
        <v>2</v>
      </c>
      <c r="Y85" s="126">
        <v>0</v>
      </c>
      <c r="Z85" s="124">
        <v>0</v>
      </c>
      <c r="AA85" s="126">
        <v>0</v>
      </c>
      <c r="AB85" s="124">
        <v>0</v>
      </c>
      <c r="AC85" s="126">
        <v>0</v>
      </c>
      <c r="AD85" s="124">
        <v>0</v>
      </c>
      <c r="AE85" s="126">
        <v>0</v>
      </c>
      <c r="AF85" s="124">
        <v>0</v>
      </c>
      <c r="AG85" s="126">
        <v>0</v>
      </c>
      <c r="AH85" s="126">
        <v>0</v>
      </c>
      <c r="AI85" s="126"/>
      <c r="AJ85" s="126"/>
      <c r="AK85" s="102">
        <v>81</v>
      </c>
    </row>
    <row r="86" spans="1:37" s="127" customFormat="1" ht="15.75">
      <c r="A86" s="120">
        <v>84</v>
      </c>
      <c r="B86" s="126" t="s">
        <v>220</v>
      </c>
      <c r="C86" s="130" t="s">
        <v>169</v>
      </c>
      <c r="D86" s="122" t="str">
        <f>"2012070"</f>
        <v>2012070</v>
      </c>
      <c r="E86" s="126" t="s">
        <v>22</v>
      </c>
      <c r="F86" s="126" t="s">
        <v>27</v>
      </c>
      <c r="G86" s="128" t="s">
        <v>224</v>
      </c>
      <c r="H86" s="126" t="s">
        <v>237</v>
      </c>
      <c r="I86" s="126">
        <v>0</v>
      </c>
      <c r="J86" s="126">
        <v>0</v>
      </c>
      <c r="K86" s="126">
        <v>5</v>
      </c>
      <c r="L86" s="124">
        <v>1</v>
      </c>
      <c r="M86" s="126">
        <v>1</v>
      </c>
      <c r="N86" s="126">
        <v>1</v>
      </c>
      <c r="O86" s="126">
        <v>2</v>
      </c>
      <c r="P86" s="126"/>
      <c r="Q86" s="126">
        <v>1</v>
      </c>
      <c r="R86" s="126">
        <v>1</v>
      </c>
      <c r="S86" s="126">
        <v>0</v>
      </c>
      <c r="T86" s="124"/>
      <c r="U86" s="126">
        <v>0</v>
      </c>
      <c r="V86" s="126"/>
      <c r="W86" s="126">
        <v>2</v>
      </c>
      <c r="X86" s="126">
        <v>2</v>
      </c>
      <c r="Y86" s="126">
        <v>1</v>
      </c>
      <c r="Z86" s="124">
        <v>1</v>
      </c>
      <c r="AA86" s="126">
        <v>0</v>
      </c>
      <c r="AB86" s="124">
        <v>0</v>
      </c>
      <c r="AC86" s="126">
        <v>0</v>
      </c>
      <c r="AD86" s="124">
        <v>0</v>
      </c>
      <c r="AE86" s="126">
        <v>0</v>
      </c>
      <c r="AF86" s="124">
        <v>0</v>
      </c>
      <c r="AG86" s="126">
        <v>0</v>
      </c>
      <c r="AH86" s="126">
        <v>0</v>
      </c>
      <c r="AI86" s="126"/>
      <c r="AJ86" s="126"/>
      <c r="AK86" s="102">
        <v>86</v>
      </c>
    </row>
    <row r="87" spans="1:37" s="127" customFormat="1" ht="15.75">
      <c r="A87" s="120">
        <v>85</v>
      </c>
      <c r="B87" s="126" t="s">
        <v>220</v>
      </c>
      <c r="C87" s="130" t="s">
        <v>157</v>
      </c>
      <c r="D87" s="122" t="str">
        <f>"2015010"</f>
        <v>2015010</v>
      </c>
      <c r="E87" s="126" t="s">
        <v>22</v>
      </c>
      <c r="F87" s="126" t="s">
        <v>27</v>
      </c>
      <c r="G87" s="128" t="s">
        <v>224</v>
      </c>
      <c r="H87" s="126" t="s">
        <v>230</v>
      </c>
      <c r="I87" s="126">
        <v>3</v>
      </c>
      <c r="J87" s="126">
        <v>1</v>
      </c>
      <c r="K87" s="126">
        <v>2</v>
      </c>
      <c r="L87" s="124">
        <v>1</v>
      </c>
      <c r="M87" s="126">
        <v>0</v>
      </c>
      <c r="N87" s="126"/>
      <c r="O87" s="126">
        <v>2</v>
      </c>
      <c r="P87" s="126">
        <v>1</v>
      </c>
      <c r="Q87" s="126">
        <v>1</v>
      </c>
      <c r="R87" s="126">
        <v>1</v>
      </c>
      <c r="S87" s="126">
        <v>0</v>
      </c>
      <c r="T87" s="124"/>
      <c r="U87" s="126">
        <v>1</v>
      </c>
      <c r="V87" s="126"/>
      <c r="W87" s="126">
        <v>3</v>
      </c>
      <c r="X87" s="126">
        <v>3</v>
      </c>
      <c r="Y87" s="126">
        <v>1</v>
      </c>
      <c r="Z87" s="124">
        <v>1</v>
      </c>
      <c r="AA87" s="126">
        <v>1</v>
      </c>
      <c r="AB87" s="124">
        <v>1</v>
      </c>
      <c r="AC87" s="126">
        <v>1</v>
      </c>
      <c r="AD87" s="124">
        <v>1</v>
      </c>
      <c r="AE87" s="126">
        <v>0</v>
      </c>
      <c r="AF87" s="124">
        <v>0</v>
      </c>
      <c r="AG87" s="126">
        <v>0</v>
      </c>
      <c r="AH87" s="126">
        <v>0</v>
      </c>
      <c r="AI87" s="126"/>
      <c r="AJ87" s="126"/>
      <c r="AK87" s="102">
        <v>110</v>
      </c>
    </row>
    <row r="88" spans="1:37" s="127" customFormat="1" ht="15.75">
      <c r="A88" s="120">
        <v>86</v>
      </c>
      <c r="B88" s="126" t="s">
        <v>220</v>
      </c>
      <c r="C88" s="130" t="s">
        <v>171</v>
      </c>
      <c r="D88" s="122" t="str">
        <f>"2015090"</f>
        <v>2015090</v>
      </c>
      <c r="E88" s="126" t="s">
        <v>22</v>
      </c>
      <c r="F88" s="126" t="s">
        <v>27</v>
      </c>
      <c r="G88" s="128" t="s">
        <v>224</v>
      </c>
      <c r="H88" s="126" t="s">
        <v>241</v>
      </c>
      <c r="I88" s="126">
        <v>12</v>
      </c>
      <c r="J88" s="126">
        <v>3</v>
      </c>
      <c r="K88" s="126">
        <v>3</v>
      </c>
      <c r="L88" s="124">
        <v>1</v>
      </c>
      <c r="M88" s="126">
        <v>0</v>
      </c>
      <c r="N88" s="126"/>
      <c r="O88" s="126">
        <v>2</v>
      </c>
      <c r="P88" s="126">
        <v>1</v>
      </c>
      <c r="Q88" s="126">
        <v>0</v>
      </c>
      <c r="R88" s="126"/>
      <c r="S88" s="126">
        <v>0</v>
      </c>
      <c r="T88" s="124"/>
      <c r="U88" s="126">
        <v>2</v>
      </c>
      <c r="V88" s="126">
        <v>1</v>
      </c>
      <c r="W88" s="126">
        <v>4</v>
      </c>
      <c r="X88" s="126">
        <v>4</v>
      </c>
      <c r="Y88" s="126">
        <v>1</v>
      </c>
      <c r="Z88" s="124">
        <v>1</v>
      </c>
      <c r="AA88" s="126" t="s">
        <v>863</v>
      </c>
      <c r="AB88" s="124">
        <v>0</v>
      </c>
      <c r="AC88" s="126" t="s">
        <v>863</v>
      </c>
      <c r="AD88" s="124">
        <v>0</v>
      </c>
      <c r="AE88" s="126">
        <v>2</v>
      </c>
      <c r="AF88" s="124">
        <v>0</v>
      </c>
      <c r="AG88" s="126">
        <v>0</v>
      </c>
      <c r="AH88" s="126">
        <v>0</v>
      </c>
      <c r="AI88" s="126"/>
      <c r="AJ88" s="126"/>
      <c r="AK88" s="102">
        <v>25</v>
      </c>
    </row>
    <row r="89" spans="1:37" s="127" customFormat="1" ht="15.75">
      <c r="A89" s="120">
        <v>87</v>
      </c>
      <c r="B89" s="126" t="s">
        <v>220</v>
      </c>
      <c r="C89" s="130" t="s">
        <v>170</v>
      </c>
      <c r="D89" s="122" t="str">
        <f>"2018010"</f>
        <v>2018010</v>
      </c>
      <c r="E89" s="126" t="s">
        <v>22</v>
      </c>
      <c r="F89" s="126" t="s">
        <v>27</v>
      </c>
      <c r="G89" s="128" t="s">
        <v>224</v>
      </c>
      <c r="H89" s="126" t="s">
        <v>238</v>
      </c>
      <c r="I89" s="126"/>
      <c r="J89" s="126"/>
      <c r="K89" s="126"/>
      <c r="L89" s="124"/>
      <c r="M89" s="126"/>
      <c r="N89" s="126"/>
      <c r="O89" s="126"/>
      <c r="P89" s="126"/>
      <c r="Q89" s="126"/>
      <c r="R89" s="126"/>
      <c r="S89" s="126"/>
      <c r="T89" s="124"/>
      <c r="U89" s="126"/>
      <c r="V89" s="126"/>
      <c r="W89" s="126"/>
      <c r="X89" s="126"/>
      <c r="Y89" s="126"/>
      <c r="Z89" s="124">
        <v>0</v>
      </c>
      <c r="AA89" s="126"/>
      <c r="AB89" s="124">
        <v>0</v>
      </c>
      <c r="AC89" s="126"/>
      <c r="AD89" s="124">
        <v>0</v>
      </c>
      <c r="AE89" s="126"/>
      <c r="AF89" s="124">
        <v>0</v>
      </c>
      <c r="AG89" s="126"/>
      <c r="AH89" s="126"/>
      <c r="AI89" s="126"/>
      <c r="AJ89" s="126"/>
      <c r="AK89" s="102">
        <v>42</v>
      </c>
    </row>
    <row r="90" spans="1:37" s="127" customFormat="1" ht="30">
      <c r="A90" s="120">
        <v>88</v>
      </c>
      <c r="B90" s="126" t="s">
        <v>220</v>
      </c>
      <c r="C90" s="130" t="s">
        <v>158</v>
      </c>
      <c r="D90" s="122" t="str">
        <f>"2050960"</f>
        <v>2050960</v>
      </c>
      <c r="E90" s="126" t="s">
        <v>22</v>
      </c>
      <c r="F90" s="126" t="s">
        <v>27</v>
      </c>
      <c r="G90" s="128" t="s">
        <v>224</v>
      </c>
      <c r="H90" s="126" t="s">
        <v>230</v>
      </c>
      <c r="I90" s="126">
        <v>16</v>
      </c>
      <c r="J90" s="126">
        <v>3</v>
      </c>
      <c r="K90" s="126">
        <v>0</v>
      </c>
      <c r="L90" s="124"/>
      <c r="M90" s="126">
        <v>3</v>
      </c>
      <c r="N90" s="126">
        <v>1</v>
      </c>
      <c r="O90" s="126">
        <v>3</v>
      </c>
      <c r="P90" s="126"/>
      <c r="Q90" s="126">
        <v>4</v>
      </c>
      <c r="R90" s="126">
        <v>1</v>
      </c>
      <c r="S90" s="126">
        <v>1</v>
      </c>
      <c r="T90" s="124"/>
      <c r="U90" s="126">
        <v>2</v>
      </c>
      <c r="V90" s="126"/>
      <c r="W90" s="126">
        <v>5</v>
      </c>
      <c r="X90" s="126">
        <v>5</v>
      </c>
      <c r="Y90" s="126">
        <v>0</v>
      </c>
      <c r="Z90" s="124">
        <v>0</v>
      </c>
      <c r="AA90" s="126" t="s">
        <v>859</v>
      </c>
      <c r="AB90" s="124">
        <v>1</v>
      </c>
      <c r="AC90" s="126">
        <v>0</v>
      </c>
      <c r="AD90" s="124">
        <v>0</v>
      </c>
      <c r="AE90" s="126">
        <v>0</v>
      </c>
      <c r="AF90" s="124">
        <v>0</v>
      </c>
      <c r="AG90" s="126">
        <v>0</v>
      </c>
      <c r="AH90" s="126">
        <v>0</v>
      </c>
      <c r="AI90" s="126"/>
      <c r="AJ90" s="126"/>
      <c r="AK90" s="102">
        <v>65</v>
      </c>
    </row>
    <row r="91" spans="1:37" s="127" customFormat="1" ht="15.75">
      <c r="A91" s="120">
        <v>89</v>
      </c>
      <c r="B91" s="126" t="s">
        <v>220</v>
      </c>
      <c r="C91" s="130" t="s">
        <v>168</v>
      </c>
      <c r="D91" s="122" t="str">
        <f>"2004010"</f>
        <v>2004010</v>
      </c>
      <c r="E91" s="126" t="s">
        <v>22</v>
      </c>
      <c r="F91" s="126" t="s">
        <v>27</v>
      </c>
      <c r="G91" s="119" t="s">
        <v>229</v>
      </c>
      <c r="H91" s="126" t="s">
        <v>229</v>
      </c>
      <c r="I91" s="126">
        <v>5</v>
      </c>
      <c r="J91" s="126">
        <v>2</v>
      </c>
      <c r="K91" s="126">
        <v>3</v>
      </c>
      <c r="L91" s="124">
        <v>1</v>
      </c>
      <c r="M91" s="126">
        <v>3</v>
      </c>
      <c r="N91" s="126">
        <v>1</v>
      </c>
      <c r="O91" s="126">
        <v>3</v>
      </c>
      <c r="P91" s="126"/>
      <c r="Q91" s="126">
        <v>3</v>
      </c>
      <c r="R91" s="126">
        <v>1</v>
      </c>
      <c r="S91" s="126">
        <v>3</v>
      </c>
      <c r="T91" s="124"/>
      <c r="U91" s="126">
        <v>3</v>
      </c>
      <c r="V91" s="126"/>
      <c r="W91" s="126">
        <v>3</v>
      </c>
      <c r="X91" s="126">
        <v>3</v>
      </c>
      <c r="Y91" s="126">
        <v>1</v>
      </c>
      <c r="Z91" s="124">
        <v>1</v>
      </c>
      <c r="AA91" s="126">
        <v>0</v>
      </c>
      <c r="AB91" s="124">
        <v>0</v>
      </c>
      <c r="AC91" s="126">
        <v>0</v>
      </c>
      <c r="AD91" s="124">
        <v>0</v>
      </c>
      <c r="AE91" s="126">
        <v>0</v>
      </c>
      <c r="AF91" s="124">
        <v>0</v>
      </c>
      <c r="AG91" s="126">
        <v>0</v>
      </c>
      <c r="AH91" s="126">
        <v>0</v>
      </c>
      <c r="AI91" s="126"/>
      <c r="AJ91" s="126"/>
      <c r="AK91" s="102">
        <v>99</v>
      </c>
    </row>
    <row r="92" spans="1:37" s="127" customFormat="1" ht="15.75">
      <c r="A92" s="120">
        <v>90</v>
      </c>
      <c r="B92" s="126" t="s">
        <v>220</v>
      </c>
      <c r="C92" s="130" t="s">
        <v>172</v>
      </c>
      <c r="D92" s="122" t="str">
        <f>"2005010"</f>
        <v>2005010</v>
      </c>
      <c r="E92" s="126" t="s">
        <v>22</v>
      </c>
      <c r="F92" s="126" t="s">
        <v>27</v>
      </c>
      <c r="G92" s="119" t="s">
        <v>227</v>
      </c>
      <c r="H92" s="126" t="s">
        <v>227</v>
      </c>
      <c r="I92" s="126">
        <v>10</v>
      </c>
      <c r="J92" s="126">
        <v>3</v>
      </c>
      <c r="K92" s="126">
        <v>5</v>
      </c>
      <c r="L92" s="124">
        <v>1</v>
      </c>
      <c r="M92" s="126">
        <v>2</v>
      </c>
      <c r="N92" s="126">
        <v>1</v>
      </c>
      <c r="O92" s="126">
        <v>0</v>
      </c>
      <c r="P92" s="126"/>
      <c r="Q92" s="126">
        <v>1</v>
      </c>
      <c r="R92" s="126">
        <v>1</v>
      </c>
      <c r="S92" s="126">
        <v>1</v>
      </c>
      <c r="T92" s="124"/>
      <c r="U92" s="126">
        <v>1</v>
      </c>
      <c r="V92" s="126"/>
      <c r="W92" s="126">
        <v>1</v>
      </c>
      <c r="X92" s="126">
        <v>1</v>
      </c>
      <c r="Y92" s="126">
        <v>1</v>
      </c>
      <c r="Z92" s="124">
        <v>1</v>
      </c>
      <c r="AA92" s="126" t="s">
        <v>864</v>
      </c>
      <c r="AB92" s="124">
        <v>0</v>
      </c>
      <c r="AC92" s="126" t="s">
        <v>864</v>
      </c>
      <c r="AD92" s="124">
        <v>0</v>
      </c>
      <c r="AE92" s="126">
        <v>0</v>
      </c>
      <c r="AF92" s="124">
        <v>0</v>
      </c>
      <c r="AG92" s="126">
        <v>0</v>
      </c>
      <c r="AH92" s="126">
        <v>0</v>
      </c>
      <c r="AI92" s="126"/>
      <c r="AJ92" s="126"/>
      <c r="AK92" s="102">
        <v>82</v>
      </c>
    </row>
    <row r="93" spans="1:37" s="127" customFormat="1" ht="15.75">
      <c r="A93" s="120">
        <v>91</v>
      </c>
      <c r="B93" s="126" t="s">
        <v>220</v>
      </c>
      <c r="C93" s="130" t="s">
        <v>160</v>
      </c>
      <c r="D93" s="122" t="str">
        <f>"2017010"</f>
        <v>2017010</v>
      </c>
      <c r="E93" s="126" t="s">
        <v>22</v>
      </c>
      <c r="F93" s="126" t="s">
        <v>27</v>
      </c>
      <c r="G93" s="119" t="s">
        <v>227</v>
      </c>
      <c r="H93" s="126" t="s">
        <v>233</v>
      </c>
      <c r="I93" s="126">
        <v>2</v>
      </c>
      <c r="J93" s="126">
        <v>1</v>
      </c>
      <c r="K93" s="126">
        <v>3</v>
      </c>
      <c r="L93" s="124">
        <v>1</v>
      </c>
      <c r="M93" s="126">
        <v>0</v>
      </c>
      <c r="N93" s="126"/>
      <c r="O93" s="126">
        <v>1</v>
      </c>
      <c r="P93" s="126">
        <v>1</v>
      </c>
      <c r="Q93" s="126">
        <v>2</v>
      </c>
      <c r="R93" s="126">
        <v>1</v>
      </c>
      <c r="S93" s="126">
        <v>1</v>
      </c>
      <c r="T93" s="124"/>
      <c r="U93" s="126">
        <v>0</v>
      </c>
      <c r="V93" s="126"/>
      <c r="W93" s="126">
        <v>2</v>
      </c>
      <c r="X93" s="126">
        <v>2</v>
      </c>
      <c r="Y93" s="126">
        <v>1</v>
      </c>
      <c r="Z93" s="124">
        <v>1</v>
      </c>
      <c r="AA93" s="126" t="s">
        <v>860</v>
      </c>
      <c r="AB93" s="124">
        <v>1</v>
      </c>
      <c r="AC93" s="126" t="s">
        <v>860</v>
      </c>
      <c r="AD93" s="124">
        <v>1</v>
      </c>
      <c r="AE93" s="126">
        <v>0</v>
      </c>
      <c r="AF93" s="124">
        <v>0</v>
      </c>
      <c r="AG93" s="126">
        <v>0</v>
      </c>
      <c r="AH93" s="126">
        <v>0</v>
      </c>
      <c r="AI93" s="126"/>
      <c r="AJ93" s="126"/>
      <c r="AK93" s="102">
        <v>72</v>
      </c>
    </row>
    <row r="94" spans="1:37" s="127" customFormat="1" ht="30">
      <c r="A94" s="120">
        <v>92</v>
      </c>
      <c r="B94" s="126" t="s">
        <v>220</v>
      </c>
      <c r="C94" s="130" t="s">
        <v>145</v>
      </c>
      <c r="D94" s="122" t="str">
        <f>"2003020"</f>
        <v>2003020</v>
      </c>
      <c r="E94" s="126" t="s">
        <v>22</v>
      </c>
      <c r="F94" s="126" t="s">
        <v>27</v>
      </c>
      <c r="G94" s="128" t="s">
        <v>225</v>
      </c>
      <c r="H94" s="126" t="s">
        <v>231</v>
      </c>
      <c r="I94" s="126"/>
      <c r="J94" s="126"/>
      <c r="K94" s="126"/>
      <c r="L94" s="124">
        <v>1</v>
      </c>
      <c r="M94" s="126"/>
      <c r="N94" s="126"/>
      <c r="O94" s="126"/>
      <c r="P94" s="126"/>
      <c r="Q94" s="126"/>
      <c r="R94" s="126"/>
      <c r="S94" s="126"/>
      <c r="T94" s="124"/>
      <c r="U94" s="126"/>
      <c r="V94" s="126"/>
      <c r="W94" s="126"/>
      <c r="X94" s="126"/>
      <c r="Y94" s="126"/>
      <c r="Z94" s="124">
        <v>0</v>
      </c>
      <c r="AA94" s="126"/>
      <c r="AB94" s="124">
        <v>0</v>
      </c>
      <c r="AC94" s="126"/>
      <c r="AD94" s="124">
        <v>0</v>
      </c>
      <c r="AE94" s="126"/>
      <c r="AF94" s="124">
        <v>0</v>
      </c>
      <c r="AG94" s="126"/>
      <c r="AH94" s="126"/>
      <c r="AI94" s="126"/>
      <c r="AJ94" s="126"/>
      <c r="AK94" s="102">
        <v>18</v>
      </c>
    </row>
    <row r="95" spans="1:37" s="127" customFormat="1" ht="15.75">
      <c r="A95" s="120">
        <v>93</v>
      </c>
      <c r="B95" s="126" t="s">
        <v>220</v>
      </c>
      <c r="C95" s="130" t="s">
        <v>175</v>
      </c>
      <c r="D95" s="122" t="str">
        <f>"2009010"</f>
        <v>2009010</v>
      </c>
      <c r="E95" s="126" t="s">
        <v>22</v>
      </c>
      <c r="F95" s="126" t="s">
        <v>27</v>
      </c>
      <c r="G95" s="119" t="s">
        <v>225</v>
      </c>
      <c r="H95" s="126" t="s">
        <v>243</v>
      </c>
      <c r="I95" s="126"/>
      <c r="J95" s="126"/>
      <c r="K95" s="126"/>
      <c r="L95" s="124"/>
      <c r="M95" s="126"/>
      <c r="N95" s="126"/>
      <c r="O95" s="126"/>
      <c r="P95" s="126"/>
      <c r="Q95" s="126"/>
      <c r="R95" s="126"/>
      <c r="S95" s="126"/>
      <c r="T95" s="124"/>
      <c r="U95" s="126"/>
      <c r="V95" s="126"/>
      <c r="W95" s="126"/>
      <c r="X95" s="126"/>
      <c r="Y95" s="126"/>
      <c r="Z95" s="124">
        <v>0</v>
      </c>
      <c r="AA95" s="126"/>
      <c r="AB95" s="124">
        <v>0</v>
      </c>
      <c r="AC95" s="126"/>
      <c r="AD95" s="124">
        <v>0</v>
      </c>
      <c r="AE95" s="126"/>
      <c r="AF95" s="124">
        <v>0</v>
      </c>
      <c r="AG95" s="126"/>
      <c r="AH95" s="126"/>
      <c r="AI95" s="126"/>
      <c r="AJ95" s="126"/>
      <c r="AK95" s="102" t="s">
        <v>246</v>
      </c>
    </row>
    <row r="96" spans="1:37" s="127" customFormat="1" ht="15.75">
      <c r="A96" s="120">
        <v>94</v>
      </c>
      <c r="B96" s="126" t="s">
        <v>220</v>
      </c>
      <c r="C96" s="130" t="s">
        <v>164</v>
      </c>
      <c r="D96" s="122" t="str">
        <f>"2011010"</f>
        <v>2011010</v>
      </c>
      <c r="E96" s="126" t="s">
        <v>22</v>
      </c>
      <c r="F96" s="126" t="s">
        <v>27</v>
      </c>
      <c r="G96" s="119" t="s">
        <v>225</v>
      </c>
      <c r="H96" s="126" t="s">
        <v>235</v>
      </c>
      <c r="I96" s="126">
        <v>10</v>
      </c>
      <c r="J96" s="126">
        <v>3</v>
      </c>
      <c r="K96" s="126">
        <v>0</v>
      </c>
      <c r="L96" s="124"/>
      <c r="M96" s="126">
        <v>0</v>
      </c>
      <c r="N96" s="126"/>
      <c r="O96" s="126">
        <v>0</v>
      </c>
      <c r="P96" s="126"/>
      <c r="Q96" s="126">
        <v>0</v>
      </c>
      <c r="R96" s="126"/>
      <c r="S96" s="126">
        <v>0</v>
      </c>
      <c r="T96" s="124"/>
      <c r="U96" s="126">
        <v>1</v>
      </c>
      <c r="V96" s="126">
        <v>1</v>
      </c>
      <c r="W96" s="126">
        <v>0</v>
      </c>
      <c r="X96" s="126">
        <v>0</v>
      </c>
      <c r="Y96" s="126">
        <v>1</v>
      </c>
      <c r="Z96" s="124">
        <v>1</v>
      </c>
      <c r="AA96" s="126">
        <v>0</v>
      </c>
      <c r="AB96" s="124">
        <v>0</v>
      </c>
      <c r="AC96" s="126">
        <v>0</v>
      </c>
      <c r="AD96" s="124">
        <v>0</v>
      </c>
      <c r="AE96" s="126">
        <v>1</v>
      </c>
      <c r="AF96" s="124">
        <v>0</v>
      </c>
      <c r="AG96" s="126">
        <v>0</v>
      </c>
      <c r="AH96" s="126">
        <v>0</v>
      </c>
      <c r="AI96" s="126"/>
      <c r="AJ96" s="126"/>
      <c r="AK96" s="102">
        <v>15</v>
      </c>
    </row>
    <row r="97" spans="1:37" s="127" customFormat="1" ht="15.75">
      <c r="A97" s="120">
        <v>95</v>
      </c>
      <c r="B97" s="126" t="s">
        <v>220</v>
      </c>
      <c r="C97" s="130" t="s">
        <v>179</v>
      </c>
      <c r="D97" s="122" t="str">
        <f>"2041001"</f>
        <v>2041001</v>
      </c>
      <c r="E97" s="126" t="s">
        <v>85</v>
      </c>
      <c r="F97" s="126" t="s">
        <v>27</v>
      </c>
      <c r="G97" s="128" t="s">
        <v>224</v>
      </c>
      <c r="H97" s="126" t="s">
        <v>230</v>
      </c>
      <c r="I97" s="126">
        <v>7</v>
      </c>
      <c r="J97" s="126">
        <v>1</v>
      </c>
      <c r="K97" s="126">
        <v>10</v>
      </c>
      <c r="L97" s="124">
        <v>2</v>
      </c>
      <c r="M97" s="126">
        <v>1</v>
      </c>
      <c r="N97" s="126">
        <v>1</v>
      </c>
      <c r="O97" s="126">
        <v>2</v>
      </c>
      <c r="P97" s="126"/>
      <c r="Q97" s="126">
        <v>0</v>
      </c>
      <c r="R97" s="126"/>
      <c r="S97" s="126">
        <v>1</v>
      </c>
      <c r="T97" s="124"/>
      <c r="U97" s="126">
        <v>1</v>
      </c>
      <c r="V97" s="126"/>
      <c r="W97" s="126">
        <v>3</v>
      </c>
      <c r="X97" s="126">
        <v>3</v>
      </c>
      <c r="Y97" s="126">
        <v>1</v>
      </c>
      <c r="Z97" s="124">
        <v>1</v>
      </c>
      <c r="AA97" s="126">
        <v>0</v>
      </c>
      <c r="AB97" s="124">
        <v>0</v>
      </c>
      <c r="AC97" s="126">
        <v>0</v>
      </c>
      <c r="AD97" s="124">
        <v>0</v>
      </c>
      <c r="AE97" s="126">
        <v>4</v>
      </c>
      <c r="AF97" s="124">
        <v>0</v>
      </c>
      <c r="AG97" s="126">
        <v>0</v>
      </c>
      <c r="AH97" s="126">
        <v>0</v>
      </c>
      <c r="AI97" s="126"/>
      <c r="AJ97" s="126"/>
      <c r="AK97" s="102">
        <v>50</v>
      </c>
    </row>
    <row r="98" spans="1:37" s="127" customFormat="1" ht="15.75">
      <c r="A98" s="120">
        <v>96</v>
      </c>
      <c r="B98" s="126" t="s">
        <v>220</v>
      </c>
      <c r="C98" s="130" t="s">
        <v>186</v>
      </c>
      <c r="D98" s="122" t="str">
        <f>"2040050"</f>
        <v>2040050</v>
      </c>
      <c r="E98" s="126" t="s">
        <v>86</v>
      </c>
      <c r="F98" s="126" t="s">
        <v>27</v>
      </c>
      <c r="G98" s="119" t="s">
        <v>228</v>
      </c>
      <c r="H98" s="126" t="s">
        <v>234</v>
      </c>
      <c r="I98" s="126"/>
      <c r="J98" s="126"/>
      <c r="K98" s="126"/>
      <c r="L98" s="124"/>
      <c r="M98" s="126">
        <v>1</v>
      </c>
      <c r="N98" s="126"/>
      <c r="O98" s="126">
        <v>1</v>
      </c>
      <c r="P98" s="126"/>
      <c r="Q98" s="126">
        <v>0</v>
      </c>
      <c r="R98" s="126"/>
      <c r="S98" s="126">
        <v>0</v>
      </c>
      <c r="T98" s="124"/>
      <c r="U98" s="126">
        <v>0</v>
      </c>
      <c r="V98" s="126"/>
      <c r="W98" s="126">
        <v>2</v>
      </c>
      <c r="X98" s="126"/>
      <c r="Y98" s="126"/>
      <c r="Z98" s="124">
        <v>0</v>
      </c>
      <c r="AA98" s="126">
        <v>0</v>
      </c>
      <c r="AB98" s="124">
        <v>0</v>
      </c>
      <c r="AC98" s="126">
        <v>0</v>
      </c>
      <c r="AD98" s="124">
        <v>0</v>
      </c>
      <c r="AE98" s="126">
        <v>0</v>
      </c>
      <c r="AF98" s="124">
        <v>0</v>
      </c>
      <c r="AG98" s="126">
        <v>0</v>
      </c>
      <c r="AH98" s="126">
        <v>0</v>
      </c>
      <c r="AI98" s="126"/>
      <c r="AJ98" s="126"/>
      <c r="AK98" s="102">
        <v>57</v>
      </c>
    </row>
    <row r="99" spans="1:37" s="127" customFormat="1" ht="15.75">
      <c r="A99" s="120">
        <v>97</v>
      </c>
      <c r="B99" s="126" t="s">
        <v>220</v>
      </c>
      <c r="C99" s="130" t="s">
        <v>181</v>
      </c>
      <c r="D99" s="122" t="str">
        <f>"2040040"</f>
        <v>2040040</v>
      </c>
      <c r="E99" s="126" t="s">
        <v>86</v>
      </c>
      <c r="F99" s="126" t="s">
        <v>27</v>
      </c>
      <c r="G99" s="128" t="s">
        <v>224</v>
      </c>
      <c r="H99" s="126" t="s">
        <v>230</v>
      </c>
      <c r="I99" s="126"/>
      <c r="J99" s="126"/>
      <c r="K99" s="126"/>
      <c r="L99" s="124"/>
      <c r="M99" s="126">
        <v>1</v>
      </c>
      <c r="N99" s="126"/>
      <c r="O99" s="126">
        <v>0</v>
      </c>
      <c r="P99" s="126"/>
      <c r="Q99" s="126">
        <v>2</v>
      </c>
      <c r="R99" s="126"/>
      <c r="S99" s="126">
        <v>1</v>
      </c>
      <c r="T99" s="124"/>
      <c r="U99" s="126">
        <v>0</v>
      </c>
      <c r="V99" s="126"/>
      <c r="W99" s="126">
        <v>0</v>
      </c>
      <c r="X99" s="126"/>
      <c r="Y99" s="126">
        <v>0</v>
      </c>
      <c r="Z99" s="124">
        <v>0</v>
      </c>
      <c r="AA99" s="126">
        <v>0</v>
      </c>
      <c r="AB99" s="124">
        <v>0</v>
      </c>
      <c r="AC99" s="126">
        <v>0</v>
      </c>
      <c r="AD99" s="124">
        <v>0</v>
      </c>
      <c r="AE99" s="126">
        <v>0</v>
      </c>
      <c r="AF99" s="124">
        <v>0</v>
      </c>
      <c r="AG99" s="126">
        <v>0</v>
      </c>
      <c r="AH99" s="126">
        <v>0</v>
      </c>
      <c r="AI99" s="126" t="s">
        <v>841</v>
      </c>
      <c r="AJ99" s="126"/>
      <c r="AK99" s="102">
        <v>239</v>
      </c>
    </row>
    <row r="100" spans="1:37" s="127" customFormat="1" ht="15.75">
      <c r="A100" s="120">
        <v>98</v>
      </c>
      <c r="B100" s="126" t="s">
        <v>220</v>
      </c>
      <c r="C100" s="130" t="s">
        <v>183</v>
      </c>
      <c r="D100" s="122" t="str">
        <f>"2040041"</f>
        <v>2040041</v>
      </c>
      <c r="E100" s="126" t="s">
        <v>86</v>
      </c>
      <c r="F100" s="126" t="s">
        <v>27</v>
      </c>
      <c r="G100" s="128" t="s">
        <v>224</v>
      </c>
      <c r="H100" s="126" t="s">
        <v>230</v>
      </c>
      <c r="I100" s="126"/>
      <c r="J100" s="126"/>
      <c r="K100" s="126"/>
      <c r="L100" s="124"/>
      <c r="M100" s="126"/>
      <c r="N100" s="126"/>
      <c r="O100" s="126"/>
      <c r="P100" s="126"/>
      <c r="Q100" s="126"/>
      <c r="R100" s="126"/>
      <c r="S100" s="126"/>
      <c r="T100" s="124"/>
      <c r="U100" s="126"/>
      <c r="V100" s="126"/>
      <c r="W100" s="126"/>
      <c r="X100" s="126"/>
      <c r="Y100" s="126"/>
      <c r="Z100" s="124">
        <v>0</v>
      </c>
      <c r="AA100" s="126"/>
      <c r="AB100" s="124">
        <v>0</v>
      </c>
      <c r="AC100" s="126"/>
      <c r="AD100" s="124">
        <v>0</v>
      </c>
      <c r="AE100" s="126"/>
      <c r="AF100" s="124">
        <v>0</v>
      </c>
      <c r="AG100" s="126"/>
      <c r="AH100" s="126"/>
      <c r="AI100" s="126"/>
      <c r="AJ100" s="126"/>
      <c r="AK100" s="102">
        <v>524</v>
      </c>
    </row>
    <row r="101" spans="1:37" s="127" customFormat="1" ht="15.75">
      <c r="A101" s="120">
        <v>99</v>
      </c>
      <c r="B101" s="126" t="s">
        <v>220</v>
      </c>
      <c r="C101" s="130" t="s">
        <v>184</v>
      </c>
      <c r="D101" s="122" t="str">
        <f>"2040042"</f>
        <v>2040042</v>
      </c>
      <c r="E101" s="126" t="s">
        <v>86</v>
      </c>
      <c r="F101" s="126" t="s">
        <v>27</v>
      </c>
      <c r="G101" s="128" t="s">
        <v>224</v>
      </c>
      <c r="H101" s="126" t="s">
        <v>230</v>
      </c>
      <c r="I101" s="126"/>
      <c r="J101" s="126"/>
      <c r="K101" s="126"/>
      <c r="L101" s="124"/>
      <c r="M101" s="126">
        <v>0</v>
      </c>
      <c r="N101" s="126"/>
      <c r="O101" s="126">
        <v>0</v>
      </c>
      <c r="P101" s="126"/>
      <c r="Q101" s="126">
        <v>0</v>
      </c>
      <c r="R101" s="126"/>
      <c r="S101" s="126">
        <v>0</v>
      </c>
      <c r="T101" s="124"/>
      <c r="U101" s="126">
        <v>0</v>
      </c>
      <c r="V101" s="126"/>
      <c r="W101" s="126">
        <v>0</v>
      </c>
      <c r="X101" s="126"/>
      <c r="Y101" s="126">
        <v>0</v>
      </c>
      <c r="Z101" s="124">
        <v>0</v>
      </c>
      <c r="AA101" s="126">
        <v>0</v>
      </c>
      <c r="AB101" s="124">
        <v>0</v>
      </c>
      <c r="AC101" s="126">
        <v>0</v>
      </c>
      <c r="AD101" s="124">
        <v>0</v>
      </c>
      <c r="AE101" s="126">
        <v>0</v>
      </c>
      <c r="AF101" s="124">
        <v>0</v>
      </c>
      <c r="AG101" s="126">
        <v>0</v>
      </c>
      <c r="AH101" s="126">
        <v>0</v>
      </c>
      <c r="AI101" s="126" t="s">
        <v>841</v>
      </c>
      <c r="AJ101" s="126"/>
      <c r="AK101" s="102">
        <v>253</v>
      </c>
    </row>
    <row r="102" spans="1:37" s="127" customFormat="1" ht="15.75">
      <c r="A102" s="120">
        <v>100</v>
      </c>
      <c r="B102" s="126" t="s">
        <v>220</v>
      </c>
      <c r="C102" s="131" t="s">
        <v>185</v>
      </c>
      <c r="D102" s="122" t="str">
        <f>"2050056"</f>
        <v>2050056</v>
      </c>
      <c r="E102" s="126" t="s">
        <v>86</v>
      </c>
      <c r="F102" s="126" t="s">
        <v>27</v>
      </c>
      <c r="G102" s="128" t="s">
        <v>224</v>
      </c>
      <c r="H102" s="126" t="s">
        <v>230</v>
      </c>
      <c r="I102" s="126">
        <v>10</v>
      </c>
      <c r="J102" s="126"/>
      <c r="K102" s="126">
        <v>10</v>
      </c>
      <c r="L102" s="124"/>
      <c r="M102" s="126">
        <v>2</v>
      </c>
      <c r="N102" s="126"/>
      <c r="O102" s="126">
        <v>2</v>
      </c>
      <c r="P102" s="126"/>
      <c r="Q102" s="126">
        <v>5</v>
      </c>
      <c r="R102" s="126"/>
      <c r="S102" s="126">
        <v>2</v>
      </c>
      <c r="T102" s="124"/>
      <c r="U102" s="126">
        <v>2</v>
      </c>
      <c r="V102" s="126"/>
      <c r="W102" s="126">
        <v>15</v>
      </c>
      <c r="X102" s="126"/>
      <c r="Y102" s="126">
        <v>1</v>
      </c>
      <c r="Z102" s="124">
        <v>0</v>
      </c>
      <c r="AA102" s="126">
        <v>2</v>
      </c>
      <c r="AB102" s="124">
        <v>0</v>
      </c>
      <c r="AC102" s="126">
        <v>2</v>
      </c>
      <c r="AD102" s="124">
        <v>0</v>
      </c>
      <c r="AE102" s="126">
        <v>5</v>
      </c>
      <c r="AF102" s="124">
        <v>0</v>
      </c>
      <c r="AG102" s="126">
        <v>0</v>
      </c>
      <c r="AH102" s="126">
        <v>0</v>
      </c>
      <c r="AI102" s="126"/>
      <c r="AJ102" s="126"/>
      <c r="AK102" s="102">
        <v>289</v>
      </c>
    </row>
    <row r="103" spans="1:37" s="127" customFormat="1" ht="15.75">
      <c r="A103" s="120">
        <v>101</v>
      </c>
      <c r="B103" s="126" t="s">
        <v>220</v>
      </c>
      <c r="C103" s="131" t="s">
        <v>182</v>
      </c>
      <c r="D103" s="122" t="str">
        <f>"2040070"</f>
        <v>2040070</v>
      </c>
      <c r="E103" s="126" t="s">
        <v>86</v>
      </c>
      <c r="F103" s="126" t="s">
        <v>27</v>
      </c>
      <c r="G103" s="119" t="s">
        <v>229</v>
      </c>
      <c r="H103" s="126" t="s">
        <v>229</v>
      </c>
      <c r="I103" s="126"/>
      <c r="J103" s="126"/>
      <c r="K103" s="126"/>
      <c r="L103" s="124"/>
      <c r="M103" s="126">
        <v>0</v>
      </c>
      <c r="N103" s="126"/>
      <c r="O103" s="126">
        <v>0</v>
      </c>
      <c r="P103" s="126"/>
      <c r="Q103" s="126">
        <v>3</v>
      </c>
      <c r="R103" s="126"/>
      <c r="S103" s="126">
        <v>2</v>
      </c>
      <c r="T103" s="124"/>
      <c r="U103" s="126">
        <v>3</v>
      </c>
      <c r="V103" s="126"/>
      <c r="W103" s="126">
        <v>4</v>
      </c>
      <c r="X103" s="126"/>
      <c r="Y103" s="126"/>
      <c r="Z103" s="124">
        <v>0</v>
      </c>
      <c r="AA103" s="126">
        <v>0</v>
      </c>
      <c r="AB103" s="124">
        <v>0</v>
      </c>
      <c r="AC103" s="126">
        <v>0</v>
      </c>
      <c r="AD103" s="124">
        <v>0</v>
      </c>
      <c r="AE103" s="126">
        <v>0</v>
      </c>
      <c r="AF103" s="124">
        <v>0</v>
      </c>
      <c r="AG103" s="126">
        <v>0</v>
      </c>
      <c r="AH103" s="126">
        <v>0</v>
      </c>
      <c r="AI103" s="126"/>
      <c r="AJ103" s="126"/>
      <c r="AK103" s="102">
        <v>92</v>
      </c>
    </row>
    <row r="104" spans="1:37" s="127" customFormat="1" ht="15.75">
      <c r="A104" s="120">
        <v>102</v>
      </c>
      <c r="B104" s="126" t="s">
        <v>220</v>
      </c>
      <c r="C104" s="130" t="s">
        <v>180</v>
      </c>
      <c r="D104" s="122" t="str">
        <f>"2040045"</f>
        <v>2040045</v>
      </c>
      <c r="E104" s="126" t="s">
        <v>86</v>
      </c>
      <c r="F104" s="126" t="s">
        <v>27</v>
      </c>
      <c r="G104" s="119" t="s">
        <v>227</v>
      </c>
      <c r="H104" s="126" t="s">
        <v>227</v>
      </c>
      <c r="I104" s="126"/>
      <c r="J104" s="126"/>
      <c r="K104" s="126"/>
      <c r="L104" s="124"/>
      <c r="M104" s="126">
        <v>1</v>
      </c>
      <c r="N104" s="126"/>
      <c r="O104" s="126">
        <v>0</v>
      </c>
      <c r="P104" s="126"/>
      <c r="Q104" s="126">
        <v>2</v>
      </c>
      <c r="R104" s="126"/>
      <c r="S104" s="126">
        <v>2</v>
      </c>
      <c r="T104" s="124"/>
      <c r="U104" s="126">
        <v>2</v>
      </c>
      <c r="V104" s="126"/>
      <c r="W104" s="126">
        <v>3</v>
      </c>
      <c r="X104" s="126">
        <v>3</v>
      </c>
      <c r="Y104" s="126"/>
      <c r="Z104" s="124">
        <v>0</v>
      </c>
      <c r="AA104" s="126" t="s">
        <v>867</v>
      </c>
      <c r="AB104" s="124">
        <v>0</v>
      </c>
      <c r="AC104" s="126" t="s">
        <v>868</v>
      </c>
      <c r="AD104" s="124">
        <v>0</v>
      </c>
      <c r="AE104" s="126">
        <v>0</v>
      </c>
      <c r="AF104" s="124">
        <v>0</v>
      </c>
      <c r="AG104" s="126">
        <v>0</v>
      </c>
      <c r="AH104" s="126">
        <v>0</v>
      </c>
      <c r="AI104" s="126" t="s">
        <v>841</v>
      </c>
      <c r="AJ104" s="126"/>
      <c r="AK104" s="102">
        <v>32</v>
      </c>
    </row>
    <row r="105" spans="1:37" s="127" customFormat="1" ht="15.75">
      <c r="A105" s="120">
        <v>103</v>
      </c>
      <c r="B105" s="126" t="s">
        <v>220</v>
      </c>
      <c r="C105" s="130" t="s">
        <v>196</v>
      </c>
      <c r="D105" s="122" t="str">
        <f>"2064010"</f>
        <v>2064010</v>
      </c>
      <c r="E105" s="126" t="s">
        <v>23</v>
      </c>
      <c r="F105" s="126" t="s">
        <v>27</v>
      </c>
      <c r="G105" s="119" t="s">
        <v>228</v>
      </c>
      <c r="H105" s="126"/>
      <c r="I105" s="126">
        <v>0</v>
      </c>
      <c r="J105" s="126">
        <v>5</v>
      </c>
      <c r="K105" s="126">
        <v>0</v>
      </c>
      <c r="L105" s="124">
        <v>5</v>
      </c>
      <c r="M105" s="126">
        <v>0</v>
      </c>
      <c r="N105" s="126">
        <v>2</v>
      </c>
      <c r="O105" s="126">
        <v>0</v>
      </c>
      <c r="P105" s="126">
        <v>2</v>
      </c>
      <c r="Q105" s="126">
        <v>0</v>
      </c>
      <c r="R105" s="126">
        <v>1</v>
      </c>
      <c r="S105" s="126">
        <v>0</v>
      </c>
      <c r="T105" s="124"/>
      <c r="U105" s="126">
        <v>0</v>
      </c>
      <c r="V105" s="126">
        <v>1</v>
      </c>
      <c r="W105" s="126">
        <v>0</v>
      </c>
      <c r="X105" s="126">
        <v>0</v>
      </c>
      <c r="Y105" s="126">
        <v>0</v>
      </c>
      <c r="Z105" s="124">
        <v>0</v>
      </c>
      <c r="AA105" s="126">
        <v>0</v>
      </c>
      <c r="AB105" s="124">
        <v>1</v>
      </c>
      <c r="AC105" s="126">
        <v>0</v>
      </c>
      <c r="AD105" s="124">
        <v>1</v>
      </c>
      <c r="AE105" s="126">
        <v>0</v>
      </c>
      <c r="AF105" s="124">
        <v>0</v>
      </c>
      <c r="AG105" s="126">
        <v>0</v>
      </c>
      <c r="AH105" s="126">
        <v>0</v>
      </c>
      <c r="AI105" s="126" t="s">
        <v>841</v>
      </c>
      <c r="AJ105" s="126" t="s">
        <v>841</v>
      </c>
      <c r="AK105" s="102">
        <v>158</v>
      </c>
    </row>
    <row r="106" spans="1:37" s="127" customFormat="1" ht="15.75">
      <c r="A106" s="120">
        <v>104</v>
      </c>
      <c r="B106" s="126" t="s">
        <v>220</v>
      </c>
      <c r="C106" s="130" t="s">
        <v>195</v>
      </c>
      <c r="D106" s="122" t="str">
        <f>"2044001"</f>
        <v>2044001</v>
      </c>
      <c r="E106" s="126" t="s">
        <v>23</v>
      </c>
      <c r="F106" s="126" t="s">
        <v>27</v>
      </c>
      <c r="G106" s="128" t="s">
        <v>224</v>
      </c>
      <c r="H106" s="126" t="s">
        <v>230</v>
      </c>
      <c r="I106" s="126">
        <v>5</v>
      </c>
      <c r="J106" s="126">
        <v>2</v>
      </c>
      <c r="K106" s="126">
        <v>5</v>
      </c>
      <c r="L106" s="124">
        <v>1</v>
      </c>
      <c r="M106" s="126">
        <v>2</v>
      </c>
      <c r="N106" s="126">
        <v>1</v>
      </c>
      <c r="O106" s="126">
        <v>0</v>
      </c>
      <c r="P106" s="126"/>
      <c r="Q106" s="126">
        <v>1</v>
      </c>
      <c r="R106" s="126">
        <v>1</v>
      </c>
      <c r="S106" s="126">
        <v>1</v>
      </c>
      <c r="T106" s="124"/>
      <c r="U106" s="126">
        <v>1</v>
      </c>
      <c r="V106" s="126"/>
      <c r="W106" s="126">
        <v>0</v>
      </c>
      <c r="X106" s="126">
        <v>0</v>
      </c>
      <c r="Y106" s="126">
        <v>1</v>
      </c>
      <c r="Z106" s="124">
        <v>1</v>
      </c>
      <c r="AA106" s="126" t="s">
        <v>871</v>
      </c>
      <c r="AB106" s="124">
        <v>0</v>
      </c>
      <c r="AC106" s="126" t="s">
        <v>872</v>
      </c>
      <c r="AD106" s="124">
        <v>0</v>
      </c>
      <c r="AE106" s="126">
        <v>3</v>
      </c>
      <c r="AF106" s="124">
        <v>0</v>
      </c>
      <c r="AG106" s="126">
        <v>0</v>
      </c>
      <c r="AH106" s="126">
        <v>0</v>
      </c>
      <c r="AI106" s="126"/>
      <c r="AJ106" s="126"/>
      <c r="AK106" s="102">
        <v>170</v>
      </c>
    </row>
    <row r="107" spans="1:37" s="127" customFormat="1" ht="15.75">
      <c r="A107" s="120">
        <v>105</v>
      </c>
      <c r="B107" s="126" t="s">
        <v>220</v>
      </c>
      <c r="C107" s="131" t="s">
        <v>193</v>
      </c>
      <c r="D107" s="122" t="str">
        <f>"2051001"</f>
        <v>2051001</v>
      </c>
      <c r="E107" s="126" t="s">
        <v>23</v>
      </c>
      <c r="F107" s="126" t="s">
        <v>27</v>
      </c>
      <c r="G107" s="128" t="s">
        <v>224</v>
      </c>
      <c r="H107" s="126" t="s">
        <v>230</v>
      </c>
      <c r="I107" s="126"/>
      <c r="J107" s="126"/>
      <c r="K107" s="126">
        <v>1</v>
      </c>
      <c r="L107" s="124">
        <v>1</v>
      </c>
      <c r="M107" s="126">
        <v>5</v>
      </c>
      <c r="N107" s="126">
        <v>3</v>
      </c>
      <c r="O107" s="126">
        <v>9</v>
      </c>
      <c r="P107" s="126">
        <v>4</v>
      </c>
      <c r="Q107" s="126">
        <v>5</v>
      </c>
      <c r="R107" s="126">
        <v>1</v>
      </c>
      <c r="S107" s="126">
        <v>3</v>
      </c>
      <c r="T107" s="124"/>
      <c r="U107" s="126">
        <v>5</v>
      </c>
      <c r="V107" s="126"/>
      <c r="W107" s="126">
        <v>2</v>
      </c>
      <c r="X107" s="126">
        <v>2</v>
      </c>
      <c r="Y107" s="126"/>
      <c r="Z107" s="124">
        <v>0</v>
      </c>
      <c r="AA107" s="126" t="s">
        <v>869</v>
      </c>
      <c r="AB107" s="124">
        <v>0</v>
      </c>
      <c r="AC107" s="126" t="s">
        <v>870</v>
      </c>
      <c r="AD107" s="124">
        <v>0</v>
      </c>
      <c r="AE107" s="126">
        <v>0</v>
      </c>
      <c r="AF107" s="124">
        <v>0</v>
      </c>
      <c r="AG107" s="126">
        <v>0</v>
      </c>
      <c r="AH107" s="126">
        <v>0</v>
      </c>
      <c r="AI107" s="126" t="s">
        <v>841</v>
      </c>
      <c r="AJ107" s="126" t="s">
        <v>841</v>
      </c>
      <c r="AK107" s="102">
        <v>219</v>
      </c>
    </row>
    <row r="108" spans="1:37" s="127" customFormat="1" ht="15.75">
      <c r="A108" s="120">
        <v>106</v>
      </c>
      <c r="B108" s="126" t="s">
        <v>220</v>
      </c>
      <c r="C108" s="130" t="s">
        <v>194</v>
      </c>
      <c r="D108" s="122" t="str">
        <f>"2051009"</f>
        <v>2051009</v>
      </c>
      <c r="E108" s="126" t="s">
        <v>23</v>
      </c>
      <c r="F108" s="126" t="s">
        <v>27</v>
      </c>
      <c r="G108" s="128" t="s">
        <v>224</v>
      </c>
      <c r="H108" s="126" t="s">
        <v>230</v>
      </c>
      <c r="I108" s="126">
        <v>20</v>
      </c>
      <c r="J108" s="126">
        <v>3</v>
      </c>
      <c r="K108" s="126">
        <v>5</v>
      </c>
      <c r="L108" s="124">
        <v>1</v>
      </c>
      <c r="M108" s="126">
        <v>5</v>
      </c>
      <c r="N108" s="126">
        <v>1</v>
      </c>
      <c r="O108" s="126">
        <v>3</v>
      </c>
      <c r="P108" s="126"/>
      <c r="Q108" s="126">
        <v>2</v>
      </c>
      <c r="R108" s="126">
        <v>1</v>
      </c>
      <c r="S108" s="126">
        <v>1</v>
      </c>
      <c r="T108" s="124"/>
      <c r="U108" s="126">
        <v>1</v>
      </c>
      <c r="V108" s="126"/>
      <c r="W108" s="126">
        <v>4</v>
      </c>
      <c r="X108" s="126">
        <v>4</v>
      </c>
      <c r="Y108" s="126">
        <v>1</v>
      </c>
      <c r="Z108" s="124">
        <v>1</v>
      </c>
      <c r="AA108" s="126">
        <v>2</v>
      </c>
      <c r="AB108" s="124">
        <v>1</v>
      </c>
      <c r="AC108" s="126">
        <v>0</v>
      </c>
      <c r="AD108" s="124">
        <v>0</v>
      </c>
      <c r="AE108" s="126">
        <v>5</v>
      </c>
      <c r="AF108" s="124">
        <v>0</v>
      </c>
      <c r="AG108" s="126">
        <v>0</v>
      </c>
      <c r="AH108" s="126">
        <v>0</v>
      </c>
      <c r="AI108" s="126"/>
      <c r="AJ108" s="126"/>
      <c r="AK108" s="102">
        <v>215</v>
      </c>
    </row>
    <row r="109" spans="1:37" s="127" customFormat="1" ht="15.75">
      <c r="A109" s="120">
        <v>107</v>
      </c>
      <c r="B109" s="126" t="s">
        <v>220</v>
      </c>
      <c r="C109" s="130" t="s">
        <v>188</v>
      </c>
      <c r="D109" s="122" t="str">
        <f>"2051010"</f>
        <v>2051010</v>
      </c>
      <c r="E109" s="126" t="s">
        <v>23</v>
      </c>
      <c r="F109" s="126" t="s">
        <v>27</v>
      </c>
      <c r="G109" s="128" t="s">
        <v>224</v>
      </c>
      <c r="H109" s="126" t="s">
        <v>230</v>
      </c>
      <c r="I109" s="126"/>
      <c r="J109" s="126"/>
      <c r="K109" s="126">
        <v>1</v>
      </c>
      <c r="L109" s="124">
        <v>1</v>
      </c>
      <c r="M109" s="126">
        <v>2</v>
      </c>
      <c r="N109" s="126">
        <v>1</v>
      </c>
      <c r="O109" s="126">
        <v>0</v>
      </c>
      <c r="P109" s="126"/>
      <c r="Q109" s="126">
        <v>2</v>
      </c>
      <c r="R109" s="126">
        <v>1</v>
      </c>
      <c r="S109" s="126">
        <v>1</v>
      </c>
      <c r="T109" s="124"/>
      <c r="U109" s="126">
        <v>1</v>
      </c>
      <c r="V109" s="126"/>
      <c r="W109" s="126">
        <v>4</v>
      </c>
      <c r="X109" s="126">
        <v>4</v>
      </c>
      <c r="Y109" s="126"/>
      <c r="Z109" s="124">
        <v>0</v>
      </c>
      <c r="AA109" s="126">
        <v>1</v>
      </c>
      <c r="AB109" s="124">
        <v>1</v>
      </c>
      <c r="AC109" s="126">
        <v>0</v>
      </c>
      <c r="AD109" s="124">
        <v>0</v>
      </c>
      <c r="AE109" s="126">
        <v>6</v>
      </c>
      <c r="AF109" s="124">
        <v>0</v>
      </c>
      <c r="AG109" s="126">
        <v>0</v>
      </c>
      <c r="AH109" s="126">
        <v>0</v>
      </c>
      <c r="AI109" s="126" t="s">
        <v>841</v>
      </c>
      <c r="AJ109" s="126" t="s">
        <v>841</v>
      </c>
      <c r="AK109" s="102">
        <v>211</v>
      </c>
    </row>
    <row r="110" spans="1:37" s="127" customFormat="1" ht="30">
      <c r="A110" s="120">
        <v>108</v>
      </c>
      <c r="B110" s="126" t="s">
        <v>220</v>
      </c>
      <c r="C110" s="130" t="s">
        <v>189</v>
      </c>
      <c r="D110" s="122" t="str">
        <f>"2051020"</f>
        <v>2051020</v>
      </c>
      <c r="E110" s="126" t="s">
        <v>23</v>
      </c>
      <c r="F110" s="126" t="s">
        <v>27</v>
      </c>
      <c r="G110" s="128" t="s">
        <v>224</v>
      </c>
      <c r="H110" s="126" t="s">
        <v>230</v>
      </c>
      <c r="I110" s="126">
        <v>3</v>
      </c>
      <c r="J110" s="126">
        <v>2</v>
      </c>
      <c r="K110" s="126">
        <v>3</v>
      </c>
      <c r="L110" s="124">
        <v>2</v>
      </c>
      <c r="M110" s="126">
        <v>2</v>
      </c>
      <c r="N110" s="126">
        <v>3</v>
      </c>
      <c r="O110" s="126">
        <v>5</v>
      </c>
      <c r="P110" s="126">
        <v>3</v>
      </c>
      <c r="Q110" s="126">
        <v>1</v>
      </c>
      <c r="R110" s="126">
        <v>1</v>
      </c>
      <c r="S110" s="126">
        <v>1</v>
      </c>
      <c r="T110" s="124"/>
      <c r="U110" s="126">
        <v>1</v>
      </c>
      <c r="V110" s="126"/>
      <c r="W110" s="126">
        <v>1</v>
      </c>
      <c r="X110" s="126">
        <v>1</v>
      </c>
      <c r="Y110" s="126">
        <v>1</v>
      </c>
      <c r="Z110" s="124">
        <v>1</v>
      </c>
      <c r="AA110" s="126">
        <v>1</v>
      </c>
      <c r="AB110" s="124">
        <v>1</v>
      </c>
      <c r="AC110" s="126">
        <v>1</v>
      </c>
      <c r="AD110" s="124">
        <v>1</v>
      </c>
      <c r="AE110" s="126">
        <v>5</v>
      </c>
      <c r="AF110" s="124">
        <v>0</v>
      </c>
      <c r="AG110" s="126">
        <v>0</v>
      </c>
      <c r="AH110" s="126">
        <v>0</v>
      </c>
      <c r="AI110" s="126"/>
      <c r="AJ110" s="126"/>
      <c r="AK110" s="102">
        <v>219</v>
      </c>
    </row>
    <row r="111" spans="1:37" s="127" customFormat="1" ht="30">
      <c r="A111" s="120">
        <v>109</v>
      </c>
      <c r="B111" s="126" t="s">
        <v>220</v>
      </c>
      <c r="C111" s="130" t="s">
        <v>190</v>
      </c>
      <c r="D111" s="122" t="str">
        <f>"2051021"</f>
        <v>2051021</v>
      </c>
      <c r="E111" s="126" t="s">
        <v>23</v>
      </c>
      <c r="F111" s="126" t="s">
        <v>27</v>
      </c>
      <c r="G111" s="128" t="s">
        <v>224</v>
      </c>
      <c r="H111" s="126" t="s">
        <v>230</v>
      </c>
      <c r="I111" s="126">
        <v>3</v>
      </c>
      <c r="J111" s="126">
        <v>2</v>
      </c>
      <c r="K111" s="126">
        <v>1</v>
      </c>
      <c r="L111" s="124">
        <v>1</v>
      </c>
      <c r="M111" s="126">
        <v>0</v>
      </c>
      <c r="N111" s="126"/>
      <c r="O111" s="126">
        <v>0</v>
      </c>
      <c r="P111" s="126"/>
      <c r="Q111" s="126">
        <v>0</v>
      </c>
      <c r="R111" s="126"/>
      <c r="S111" s="126">
        <v>0</v>
      </c>
      <c r="T111" s="124"/>
      <c r="U111" s="126">
        <v>0</v>
      </c>
      <c r="V111" s="126"/>
      <c r="W111" s="126">
        <v>0</v>
      </c>
      <c r="X111" s="126">
        <v>0</v>
      </c>
      <c r="Y111" s="126">
        <v>0</v>
      </c>
      <c r="Z111" s="124">
        <v>0</v>
      </c>
      <c r="AA111" s="126">
        <v>1</v>
      </c>
      <c r="AB111" s="124">
        <v>1</v>
      </c>
      <c r="AC111" s="126">
        <v>0</v>
      </c>
      <c r="AD111" s="124">
        <v>0</v>
      </c>
      <c r="AE111" s="126">
        <v>5</v>
      </c>
      <c r="AF111" s="124">
        <v>0</v>
      </c>
      <c r="AG111" s="126">
        <v>0</v>
      </c>
      <c r="AH111" s="126">
        <v>0</v>
      </c>
      <c r="AI111" s="126"/>
      <c r="AJ111" s="126"/>
      <c r="AK111" s="102">
        <v>281</v>
      </c>
    </row>
    <row r="112" spans="1:37" s="127" customFormat="1" ht="30">
      <c r="A112" s="120">
        <v>110</v>
      </c>
      <c r="B112" s="126" t="s">
        <v>220</v>
      </c>
      <c r="C112" s="130" t="s">
        <v>203</v>
      </c>
      <c r="D112" s="122" t="str">
        <f>"2051030"</f>
        <v>2051030</v>
      </c>
      <c r="E112" s="126" t="s">
        <v>23</v>
      </c>
      <c r="F112" s="126" t="s">
        <v>27</v>
      </c>
      <c r="G112" s="128" t="s">
        <v>224</v>
      </c>
      <c r="H112" s="126" t="s">
        <v>230</v>
      </c>
      <c r="I112" s="126"/>
      <c r="J112" s="126">
        <v>2</v>
      </c>
      <c r="K112" s="126">
        <v>1</v>
      </c>
      <c r="L112" s="124">
        <v>1</v>
      </c>
      <c r="M112" s="126">
        <v>0</v>
      </c>
      <c r="N112" s="126">
        <v>0</v>
      </c>
      <c r="O112" s="126">
        <v>0</v>
      </c>
      <c r="P112" s="126"/>
      <c r="Q112" s="126">
        <v>3</v>
      </c>
      <c r="R112" s="126">
        <v>1</v>
      </c>
      <c r="S112" s="126">
        <v>1</v>
      </c>
      <c r="T112" s="124"/>
      <c r="U112" s="126">
        <v>1</v>
      </c>
      <c r="V112" s="126"/>
      <c r="W112" s="126">
        <v>2</v>
      </c>
      <c r="X112" s="126">
        <v>2</v>
      </c>
      <c r="Y112" s="126">
        <v>0</v>
      </c>
      <c r="Z112" s="124">
        <v>0</v>
      </c>
      <c r="AA112" s="126">
        <v>1</v>
      </c>
      <c r="AB112" s="124">
        <v>1</v>
      </c>
      <c r="AC112" s="126">
        <v>0</v>
      </c>
      <c r="AD112" s="124">
        <v>0</v>
      </c>
      <c r="AE112" s="126">
        <v>0</v>
      </c>
      <c r="AF112" s="124">
        <v>0</v>
      </c>
      <c r="AG112" s="126">
        <v>0</v>
      </c>
      <c r="AH112" s="126">
        <v>0</v>
      </c>
      <c r="AI112" s="126" t="s">
        <v>841</v>
      </c>
      <c r="AJ112" s="126" t="s">
        <v>841</v>
      </c>
      <c r="AK112" s="102">
        <v>293</v>
      </c>
    </row>
    <row r="113" spans="1:37" s="127" customFormat="1" ht="30">
      <c r="A113" s="120">
        <v>111</v>
      </c>
      <c r="B113" s="126" t="s">
        <v>220</v>
      </c>
      <c r="C113" s="130" t="s">
        <v>191</v>
      </c>
      <c r="D113" s="122" t="str">
        <f>"2051040"</f>
        <v>2051040</v>
      </c>
      <c r="E113" s="126" t="s">
        <v>23</v>
      </c>
      <c r="F113" s="126" t="s">
        <v>27</v>
      </c>
      <c r="G113" s="128" t="s">
        <v>224</v>
      </c>
      <c r="H113" s="126" t="s">
        <v>230</v>
      </c>
      <c r="I113" s="126">
        <v>0</v>
      </c>
      <c r="J113" s="126">
        <v>2</v>
      </c>
      <c r="K113" s="126">
        <v>2</v>
      </c>
      <c r="L113" s="124">
        <v>1</v>
      </c>
      <c r="M113" s="126">
        <v>0</v>
      </c>
      <c r="N113" s="126"/>
      <c r="O113" s="126">
        <v>1</v>
      </c>
      <c r="P113" s="126">
        <v>1</v>
      </c>
      <c r="Q113" s="126">
        <v>0</v>
      </c>
      <c r="R113" s="126">
        <v>1</v>
      </c>
      <c r="S113" s="126">
        <v>0</v>
      </c>
      <c r="T113" s="124"/>
      <c r="U113" s="126">
        <v>0</v>
      </c>
      <c r="V113" s="126"/>
      <c r="W113" s="126">
        <v>1</v>
      </c>
      <c r="X113" s="126">
        <v>1</v>
      </c>
      <c r="Y113" s="126">
        <v>0</v>
      </c>
      <c r="Z113" s="124">
        <v>0</v>
      </c>
      <c r="AA113" s="126">
        <v>0</v>
      </c>
      <c r="AB113" s="124">
        <v>0</v>
      </c>
      <c r="AC113" s="126">
        <v>0</v>
      </c>
      <c r="AD113" s="124">
        <v>0</v>
      </c>
      <c r="AE113" s="126">
        <v>2</v>
      </c>
      <c r="AF113" s="124">
        <v>0</v>
      </c>
      <c r="AG113" s="126">
        <v>0</v>
      </c>
      <c r="AH113" s="126">
        <v>0</v>
      </c>
      <c r="AI113" s="126"/>
      <c r="AJ113" s="126"/>
      <c r="AK113" s="102">
        <v>252</v>
      </c>
    </row>
    <row r="114" spans="1:37" s="127" customFormat="1" ht="15.75">
      <c r="A114" s="120">
        <v>112</v>
      </c>
      <c r="B114" s="126" t="s">
        <v>220</v>
      </c>
      <c r="C114" s="130" t="s">
        <v>198</v>
      </c>
      <c r="D114" s="122" t="str">
        <f>"2051060"</f>
        <v>2051060</v>
      </c>
      <c r="E114" s="126" t="s">
        <v>23</v>
      </c>
      <c r="F114" s="126" t="s">
        <v>27</v>
      </c>
      <c r="G114" s="128" t="s">
        <v>224</v>
      </c>
      <c r="H114" s="126" t="s">
        <v>222</v>
      </c>
      <c r="I114" s="126">
        <v>0</v>
      </c>
      <c r="J114" s="126">
        <v>2</v>
      </c>
      <c r="K114" s="126">
        <v>0</v>
      </c>
      <c r="L114" s="124">
        <v>1</v>
      </c>
      <c r="M114" s="126">
        <v>0</v>
      </c>
      <c r="N114" s="126">
        <v>0</v>
      </c>
      <c r="O114" s="126">
        <v>1</v>
      </c>
      <c r="P114" s="126">
        <v>1</v>
      </c>
      <c r="Q114" s="126">
        <v>0</v>
      </c>
      <c r="R114" s="126"/>
      <c r="S114" s="126">
        <v>0</v>
      </c>
      <c r="T114" s="124"/>
      <c r="U114" s="126">
        <v>0</v>
      </c>
      <c r="V114" s="126"/>
      <c r="W114" s="126">
        <v>10</v>
      </c>
      <c r="X114" s="126">
        <v>10</v>
      </c>
      <c r="Y114" s="126">
        <v>1</v>
      </c>
      <c r="Z114" s="124">
        <v>0</v>
      </c>
      <c r="AA114" s="126">
        <v>0</v>
      </c>
      <c r="AB114" s="124">
        <v>0</v>
      </c>
      <c r="AC114" s="126">
        <v>0</v>
      </c>
      <c r="AD114" s="124">
        <v>0</v>
      </c>
      <c r="AE114" s="126">
        <v>0</v>
      </c>
      <c r="AF114" s="124">
        <v>0</v>
      </c>
      <c r="AG114" s="126">
        <v>0</v>
      </c>
      <c r="AH114" s="126">
        <v>0</v>
      </c>
      <c r="AI114" s="126"/>
      <c r="AJ114" s="126"/>
      <c r="AK114" s="102">
        <v>297</v>
      </c>
    </row>
    <row r="115" spans="1:37" s="127" customFormat="1" ht="15.75">
      <c r="A115" s="120">
        <v>113</v>
      </c>
      <c r="B115" s="126" t="s">
        <v>220</v>
      </c>
      <c r="C115" s="130" t="s">
        <v>202</v>
      </c>
      <c r="D115" s="122" t="str">
        <f>"2051061"</f>
        <v>2051061</v>
      </c>
      <c r="E115" s="126" t="s">
        <v>23</v>
      </c>
      <c r="F115" s="126" t="s">
        <v>27</v>
      </c>
      <c r="G115" s="128" t="s">
        <v>224</v>
      </c>
      <c r="H115" s="126" t="s">
        <v>239</v>
      </c>
      <c r="I115" s="126"/>
      <c r="J115" s="126"/>
      <c r="K115" s="126"/>
      <c r="L115" s="124"/>
      <c r="M115" s="126"/>
      <c r="N115" s="126">
        <v>0</v>
      </c>
      <c r="O115" s="126"/>
      <c r="P115" s="126"/>
      <c r="Q115" s="126"/>
      <c r="R115" s="126"/>
      <c r="S115" s="126"/>
      <c r="T115" s="124"/>
      <c r="U115" s="126"/>
      <c r="V115" s="126"/>
      <c r="W115" s="126"/>
      <c r="X115" s="126"/>
      <c r="Y115" s="126"/>
      <c r="Z115" s="124">
        <v>0</v>
      </c>
      <c r="AA115" s="126"/>
      <c r="AB115" s="124">
        <v>0</v>
      </c>
      <c r="AC115" s="126"/>
      <c r="AD115" s="124">
        <v>0</v>
      </c>
      <c r="AE115" s="126"/>
      <c r="AF115" s="124">
        <v>0</v>
      </c>
      <c r="AG115" s="126"/>
      <c r="AH115" s="126"/>
      <c r="AI115" s="126"/>
      <c r="AJ115" s="126"/>
      <c r="AK115" s="102">
        <v>150</v>
      </c>
    </row>
    <row r="116" spans="1:37" s="127" customFormat="1" ht="15.75">
      <c r="A116" s="120">
        <v>114</v>
      </c>
      <c r="B116" s="126" t="s">
        <v>220</v>
      </c>
      <c r="C116" s="130" t="s">
        <v>192</v>
      </c>
      <c r="D116" s="122" t="str">
        <f>"2051070"</f>
        <v>2051070</v>
      </c>
      <c r="E116" s="126" t="s">
        <v>23</v>
      </c>
      <c r="F116" s="126" t="s">
        <v>27</v>
      </c>
      <c r="G116" s="128" t="s">
        <v>224</v>
      </c>
      <c r="H116" s="126" t="s">
        <v>230</v>
      </c>
      <c r="I116" s="126">
        <v>0</v>
      </c>
      <c r="J116" s="126">
        <v>2</v>
      </c>
      <c r="K116" s="126">
        <v>4</v>
      </c>
      <c r="L116" s="124">
        <v>1</v>
      </c>
      <c r="M116" s="126">
        <v>1</v>
      </c>
      <c r="N116" s="126">
        <v>1</v>
      </c>
      <c r="O116" s="126">
        <v>3</v>
      </c>
      <c r="P116" s="126"/>
      <c r="Q116" s="126">
        <v>1</v>
      </c>
      <c r="R116" s="126">
        <v>1</v>
      </c>
      <c r="S116" s="126">
        <v>1</v>
      </c>
      <c r="T116" s="124"/>
      <c r="U116" s="126">
        <v>1</v>
      </c>
      <c r="V116" s="126"/>
      <c r="W116" s="126">
        <v>1</v>
      </c>
      <c r="X116" s="126">
        <v>1</v>
      </c>
      <c r="Y116" s="126">
        <v>1</v>
      </c>
      <c r="Z116" s="124">
        <v>1</v>
      </c>
      <c r="AA116" s="126">
        <v>0</v>
      </c>
      <c r="AB116" s="124">
        <v>0</v>
      </c>
      <c r="AC116" s="126">
        <v>0</v>
      </c>
      <c r="AD116" s="124">
        <v>0</v>
      </c>
      <c r="AE116" s="126">
        <v>3</v>
      </c>
      <c r="AF116" s="124">
        <v>0</v>
      </c>
      <c r="AG116" s="126">
        <v>0</v>
      </c>
      <c r="AH116" s="126">
        <v>0</v>
      </c>
      <c r="AI116" s="126"/>
      <c r="AJ116" s="126"/>
      <c r="AK116" s="102">
        <v>293</v>
      </c>
    </row>
    <row r="117" spans="1:37" s="127" customFormat="1" ht="30">
      <c r="A117" s="120">
        <v>115</v>
      </c>
      <c r="B117" s="126" t="s">
        <v>220</v>
      </c>
      <c r="C117" s="130" t="s">
        <v>200</v>
      </c>
      <c r="D117" s="122" t="str">
        <f>"2062010"</f>
        <v>2062010</v>
      </c>
      <c r="E117" s="126" t="s">
        <v>23</v>
      </c>
      <c r="F117" s="126" t="s">
        <v>27</v>
      </c>
      <c r="G117" s="128" t="s">
        <v>224</v>
      </c>
      <c r="H117" s="126" t="s">
        <v>240</v>
      </c>
      <c r="I117" s="126"/>
      <c r="J117" s="126"/>
      <c r="K117" s="126"/>
      <c r="L117" s="124"/>
      <c r="M117" s="126"/>
      <c r="N117" s="126">
        <v>0</v>
      </c>
      <c r="O117" s="126"/>
      <c r="P117" s="126"/>
      <c r="Q117" s="126"/>
      <c r="R117" s="126"/>
      <c r="S117" s="126"/>
      <c r="T117" s="124"/>
      <c r="U117" s="126"/>
      <c r="V117" s="126"/>
      <c r="W117" s="126"/>
      <c r="X117" s="126"/>
      <c r="Y117" s="126"/>
      <c r="Z117" s="124">
        <v>0</v>
      </c>
      <c r="AA117" s="126"/>
      <c r="AB117" s="124">
        <v>0</v>
      </c>
      <c r="AC117" s="126"/>
      <c r="AD117" s="124">
        <v>0</v>
      </c>
      <c r="AE117" s="126"/>
      <c r="AF117" s="124">
        <v>0</v>
      </c>
      <c r="AG117" s="126"/>
      <c r="AH117" s="126"/>
      <c r="AI117" s="126"/>
      <c r="AJ117" s="126"/>
      <c r="AK117" s="102">
        <v>172</v>
      </c>
    </row>
    <row r="118" spans="1:37" s="127" customFormat="1" ht="15.75">
      <c r="A118" s="120">
        <v>116</v>
      </c>
      <c r="B118" s="126" t="s">
        <v>220</v>
      </c>
      <c r="C118" s="130" t="s">
        <v>197</v>
      </c>
      <c r="D118" s="122" t="str">
        <f>"2090041"</f>
        <v>2090041</v>
      </c>
      <c r="E118" s="126" t="s">
        <v>23</v>
      </c>
      <c r="F118" s="126" t="s">
        <v>27</v>
      </c>
      <c r="G118" s="128" t="s">
        <v>224</v>
      </c>
      <c r="H118" s="126" t="s">
        <v>230</v>
      </c>
      <c r="I118" s="126">
        <v>1</v>
      </c>
      <c r="J118" s="126">
        <v>1</v>
      </c>
      <c r="K118" s="126">
        <v>0</v>
      </c>
      <c r="L118" s="124">
        <v>1</v>
      </c>
      <c r="M118" s="126">
        <v>0</v>
      </c>
      <c r="N118" s="126">
        <v>0</v>
      </c>
      <c r="O118" s="126">
        <v>0</v>
      </c>
      <c r="P118" s="126"/>
      <c r="Q118" s="126">
        <v>1</v>
      </c>
      <c r="R118" s="126">
        <v>1</v>
      </c>
      <c r="S118" s="126">
        <v>0</v>
      </c>
      <c r="T118" s="124"/>
      <c r="U118" s="126">
        <v>1</v>
      </c>
      <c r="V118" s="126"/>
      <c r="W118" s="126">
        <v>1</v>
      </c>
      <c r="X118" s="126">
        <v>1</v>
      </c>
      <c r="Y118" s="126">
        <v>0</v>
      </c>
      <c r="Z118" s="124" t="s">
        <v>936</v>
      </c>
      <c r="AA118" s="126">
        <v>0</v>
      </c>
      <c r="AB118" s="124">
        <v>0</v>
      </c>
      <c r="AC118" s="126">
        <v>0</v>
      </c>
      <c r="AD118" s="124">
        <v>0</v>
      </c>
      <c r="AE118" s="126">
        <v>0</v>
      </c>
      <c r="AF118" s="124">
        <v>0</v>
      </c>
      <c r="AG118" s="126">
        <v>0</v>
      </c>
      <c r="AH118" s="126">
        <v>0</v>
      </c>
      <c r="AI118" s="126"/>
      <c r="AJ118" s="126"/>
      <c r="AK118" s="102">
        <v>54</v>
      </c>
    </row>
    <row r="119" spans="1:37" s="127" customFormat="1" ht="30">
      <c r="A119" s="120">
        <v>117</v>
      </c>
      <c r="B119" s="126" t="s">
        <v>220</v>
      </c>
      <c r="C119" s="130" t="s">
        <v>201</v>
      </c>
      <c r="D119" s="122" t="str">
        <f>"2054010"</f>
        <v>2054010</v>
      </c>
      <c r="E119" s="126" t="s">
        <v>23</v>
      </c>
      <c r="F119" s="126" t="s">
        <v>27</v>
      </c>
      <c r="G119" s="119" t="s">
        <v>229</v>
      </c>
      <c r="H119" s="126" t="s">
        <v>229</v>
      </c>
      <c r="I119" s="126">
        <v>6</v>
      </c>
      <c r="J119" s="126">
        <v>1</v>
      </c>
      <c r="K119" s="126">
        <v>3</v>
      </c>
      <c r="L119" s="124">
        <v>1</v>
      </c>
      <c r="M119" s="126">
        <v>1</v>
      </c>
      <c r="N119" s="126">
        <v>1</v>
      </c>
      <c r="O119" s="126">
        <v>2</v>
      </c>
      <c r="P119" s="126"/>
      <c r="Q119" s="126">
        <v>0</v>
      </c>
      <c r="R119" s="126"/>
      <c r="S119" s="126">
        <v>1</v>
      </c>
      <c r="T119" s="124"/>
      <c r="U119" s="126">
        <v>1</v>
      </c>
      <c r="V119" s="126"/>
      <c r="W119" s="126">
        <v>1</v>
      </c>
      <c r="X119" s="126">
        <v>1</v>
      </c>
      <c r="Y119" s="126">
        <v>0</v>
      </c>
      <c r="Z119" s="124">
        <v>0</v>
      </c>
      <c r="AA119" s="126" t="s">
        <v>873</v>
      </c>
      <c r="AB119" s="124">
        <v>0</v>
      </c>
      <c r="AC119" s="126" t="s">
        <v>873</v>
      </c>
      <c r="AD119" s="124">
        <v>1</v>
      </c>
      <c r="AE119" s="126">
        <v>3</v>
      </c>
      <c r="AF119" s="124">
        <v>0</v>
      </c>
      <c r="AG119" s="126">
        <v>0</v>
      </c>
      <c r="AH119" s="126">
        <v>0</v>
      </c>
      <c r="AI119" s="126"/>
      <c r="AJ119" s="126"/>
      <c r="AK119" s="102">
        <v>40</v>
      </c>
    </row>
    <row r="120" spans="1:37" s="127" customFormat="1" ht="15.75">
      <c r="A120" s="120">
        <v>118</v>
      </c>
      <c r="B120" s="126" t="s">
        <v>220</v>
      </c>
      <c r="C120" s="130" t="s">
        <v>187</v>
      </c>
      <c r="D120" s="122" t="str">
        <f>"2055010"</f>
        <v>2055010</v>
      </c>
      <c r="E120" s="126" t="s">
        <v>23</v>
      </c>
      <c r="F120" s="126" t="s">
        <v>27</v>
      </c>
      <c r="G120" s="119" t="s">
        <v>227</v>
      </c>
      <c r="H120" s="126" t="s">
        <v>227</v>
      </c>
      <c r="I120" s="126">
        <v>0</v>
      </c>
      <c r="J120" s="126">
        <v>0</v>
      </c>
      <c r="K120" s="126">
        <v>1</v>
      </c>
      <c r="L120" s="124">
        <v>1</v>
      </c>
      <c r="M120" s="126">
        <v>2</v>
      </c>
      <c r="N120" s="126">
        <v>1</v>
      </c>
      <c r="O120" s="126">
        <v>2</v>
      </c>
      <c r="P120" s="126"/>
      <c r="Q120" s="126">
        <v>1</v>
      </c>
      <c r="R120" s="126">
        <v>1</v>
      </c>
      <c r="S120" s="126">
        <v>0</v>
      </c>
      <c r="T120" s="124"/>
      <c r="U120" s="126">
        <v>2</v>
      </c>
      <c r="V120" s="126"/>
      <c r="W120" s="126">
        <v>0</v>
      </c>
      <c r="X120" s="126">
        <v>0</v>
      </c>
      <c r="Y120" s="126">
        <v>0</v>
      </c>
      <c r="Z120" s="124">
        <v>0</v>
      </c>
      <c r="AA120" s="126">
        <v>0</v>
      </c>
      <c r="AB120" s="124">
        <v>0</v>
      </c>
      <c r="AC120" s="126">
        <v>0</v>
      </c>
      <c r="AD120" s="124">
        <v>0</v>
      </c>
      <c r="AE120" s="126">
        <v>0</v>
      </c>
      <c r="AF120" s="124">
        <v>0</v>
      </c>
      <c r="AG120" s="126">
        <v>0</v>
      </c>
      <c r="AH120" s="126">
        <v>0</v>
      </c>
      <c r="AI120" s="126" t="s">
        <v>841</v>
      </c>
      <c r="AJ120" s="126" t="s">
        <v>841</v>
      </c>
      <c r="AK120" s="102">
        <v>51</v>
      </c>
    </row>
    <row r="121" spans="1:37" s="127" customFormat="1" ht="15.75">
      <c r="A121" s="120">
        <v>119</v>
      </c>
      <c r="B121" s="126" t="s">
        <v>220</v>
      </c>
      <c r="C121" s="130" t="s">
        <v>199</v>
      </c>
      <c r="D121" s="122" t="str">
        <f>"2053010"</f>
        <v>2053010</v>
      </c>
      <c r="E121" s="126" t="s">
        <v>23</v>
      </c>
      <c r="F121" s="126" t="s">
        <v>27</v>
      </c>
      <c r="G121" s="119" t="s">
        <v>225</v>
      </c>
      <c r="H121" s="126" t="s">
        <v>223</v>
      </c>
      <c r="I121" s="126">
        <v>6</v>
      </c>
      <c r="J121" s="126">
        <v>2</v>
      </c>
      <c r="K121" s="126">
        <v>2</v>
      </c>
      <c r="L121" s="124">
        <v>1</v>
      </c>
      <c r="M121" s="126">
        <v>0</v>
      </c>
      <c r="N121" s="126">
        <v>0</v>
      </c>
      <c r="O121" s="126">
        <v>0</v>
      </c>
      <c r="P121" s="126"/>
      <c r="Q121" s="126">
        <v>1</v>
      </c>
      <c r="R121" s="126">
        <v>1</v>
      </c>
      <c r="S121" s="126">
        <v>0</v>
      </c>
      <c r="T121" s="124"/>
      <c r="U121" s="126">
        <v>1</v>
      </c>
      <c r="V121" s="126"/>
      <c r="W121" s="126">
        <v>2</v>
      </c>
      <c r="X121" s="126">
        <v>2</v>
      </c>
      <c r="Y121" s="126">
        <v>1</v>
      </c>
      <c r="Z121" s="124">
        <v>0</v>
      </c>
      <c r="AA121" s="126">
        <v>0</v>
      </c>
      <c r="AB121" s="124">
        <v>0</v>
      </c>
      <c r="AC121" s="126">
        <v>0</v>
      </c>
      <c r="AD121" s="124">
        <v>0</v>
      </c>
      <c r="AE121" s="126">
        <v>2</v>
      </c>
      <c r="AF121" s="124">
        <v>0</v>
      </c>
      <c r="AG121" s="126">
        <v>0</v>
      </c>
      <c r="AH121" s="126">
        <v>0</v>
      </c>
      <c r="AI121" s="126"/>
      <c r="AJ121" s="126"/>
      <c r="AK121" s="102">
        <v>45</v>
      </c>
    </row>
    <row r="122" spans="1:37" s="127" customFormat="1" ht="30">
      <c r="A122" s="120">
        <v>120</v>
      </c>
      <c r="B122" s="126" t="s">
        <v>220</v>
      </c>
      <c r="C122" s="130" t="s">
        <v>177</v>
      </c>
      <c r="D122" s="122" t="str">
        <f>"2001035"</f>
        <v>2001035</v>
      </c>
      <c r="E122" s="126" t="s">
        <v>221</v>
      </c>
      <c r="F122" s="126" t="s">
        <v>27</v>
      </c>
      <c r="G122" s="128" t="s">
        <v>224</v>
      </c>
      <c r="H122" s="126" t="s">
        <v>230</v>
      </c>
      <c r="I122" s="126">
        <v>12</v>
      </c>
      <c r="J122" s="126">
        <v>3</v>
      </c>
      <c r="K122" s="126">
        <v>5</v>
      </c>
      <c r="L122" s="124">
        <v>1</v>
      </c>
      <c r="M122" s="126">
        <v>5</v>
      </c>
      <c r="N122" s="126">
        <v>1</v>
      </c>
      <c r="O122" s="126">
        <v>2</v>
      </c>
      <c r="P122" s="126"/>
      <c r="Q122" s="126">
        <v>1</v>
      </c>
      <c r="R122" s="126">
        <v>1</v>
      </c>
      <c r="S122" s="126">
        <v>1</v>
      </c>
      <c r="T122" s="124"/>
      <c r="U122" s="126">
        <v>1</v>
      </c>
      <c r="V122" s="126"/>
      <c r="W122" s="126">
        <v>13</v>
      </c>
      <c r="X122" s="126">
        <v>13</v>
      </c>
      <c r="Y122" s="126">
        <v>1</v>
      </c>
      <c r="Z122" s="124">
        <v>0</v>
      </c>
      <c r="AA122" s="126" t="s">
        <v>865</v>
      </c>
      <c r="AB122" s="124">
        <v>1</v>
      </c>
      <c r="AC122" s="126" t="s">
        <v>866</v>
      </c>
      <c r="AD122" s="124">
        <v>0</v>
      </c>
      <c r="AE122" s="126">
        <v>7</v>
      </c>
      <c r="AF122" s="124">
        <v>0</v>
      </c>
      <c r="AG122" s="126">
        <v>0</v>
      </c>
      <c r="AH122" s="126">
        <v>0</v>
      </c>
      <c r="AI122" s="126"/>
      <c r="AJ122" s="126"/>
      <c r="AK122" s="102">
        <v>250</v>
      </c>
    </row>
    <row r="123" spans="1:37" s="127" customFormat="1" ht="15.75">
      <c r="A123" s="120">
        <v>121</v>
      </c>
      <c r="B123" s="126" t="s">
        <v>282</v>
      </c>
      <c r="C123" s="129" t="s">
        <v>263</v>
      </c>
      <c r="D123" s="122" t="str">
        <f>"4002010"</f>
        <v>4002010</v>
      </c>
      <c r="E123" s="129" t="s">
        <v>22</v>
      </c>
      <c r="F123" s="126" t="s">
        <v>28</v>
      </c>
      <c r="G123" s="129" t="s">
        <v>283</v>
      </c>
      <c r="H123" s="126" t="s">
        <v>286</v>
      </c>
      <c r="I123" s="126"/>
      <c r="J123" s="126"/>
      <c r="K123" s="126">
        <v>1</v>
      </c>
      <c r="L123" s="124">
        <v>1</v>
      </c>
      <c r="M123" s="126">
        <v>2</v>
      </c>
      <c r="N123" s="126">
        <v>1</v>
      </c>
      <c r="O123" s="126">
        <v>2</v>
      </c>
      <c r="P123" s="126"/>
      <c r="Q123" s="126">
        <v>1</v>
      </c>
      <c r="R123" s="126">
        <v>1</v>
      </c>
      <c r="S123" s="126">
        <v>1</v>
      </c>
      <c r="T123" s="124"/>
      <c r="U123" s="126">
        <v>1</v>
      </c>
      <c r="V123" s="126"/>
      <c r="W123" s="126">
        <v>3</v>
      </c>
      <c r="X123" s="126">
        <v>3</v>
      </c>
      <c r="Y123" s="126"/>
      <c r="Z123" s="124">
        <v>0</v>
      </c>
      <c r="AA123" s="126">
        <v>2</v>
      </c>
      <c r="AB123" s="124">
        <v>1</v>
      </c>
      <c r="AC123" s="126">
        <v>2</v>
      </c>
      <c r="AD123" s="124">
        <v>1</v>
      </c>
      <c r="AE123" s="126">
        <v>3</v>
      </c>
      <c r="AF123" s="124">
        <v>0</v>
      </c>
      <c r="AG123" s="126">
        <v>0</v>
      </c>
      <c r="AH123" s="126">
        <v>0</v>
      </c>
      <c r="AI123" s="126" t="s">
        <v>841</v>
      </c>
      <c r="AJ123" s="126" t="s">
        <v>841</v>
      </c>
      <c r="AK123" s="106">
        <v>84</v>
      </c>
    </row>
    <row r="124" spans="1:37" s="127" customFormat="1" ht="15.75">
      <c r="A124" s="120">
        <v>122</v>
      </c>
      <c r="B124" s="126" t="s">
        <v>282</v>
      </c>
      <c r="C124" s="129" t="s">
        <v>256</v>
      </c>
      <c r="D124" s="122" t="str">
        <f>"4004010"</f>
        <v>4004010</v>
      </c>
      <c r="E124" s="129" t="s">
        <v>22</v>
      </c>
      <c r="F124" s="126" t="s">
        <v>28</v>
      </c>
      <c r="G124" s="129" t="s">
        <v>283</v>
      </c>
      <c r="H124" s="126" t="s">
        <v>285</v>
      </c>
      <c r="I124" s="126">
        <v>8</v>
      </c>
      <c r="J124" s="126">
        <v>2</v>
      </c>
      <c r="K124" s="126">
        <v>4</v>
      </c>
      <c r="L124" s="124">
        <v>2</v>
      </c>
      <c r="M124" s="126">
        <v>2</v>
      </c>
      <c r="N124" s="126">
        <v>1</v>
      </c>
      <c r="O124" s="126">
        <v>1</v>
      </c>
      <c r="P124" s="126"/>
      <c r="Q124" s="126">
        <v>2</v>
      </c>
      <c r="R124" s="126">
        <v>1</v>
      </c>
      <c r="S124" s="126">
        <v>1</v>
      </c>
      <c r="T124" s="124"/>
      <c r="U124" s="126">
        <v>1</v>
      </c>
      <c r="V124" s="126"/>
      <c r="W124" s="126">
        <v>2</v>
      </c>
      <c r="X124" s="126">
        <v>2</v>
      </c>
      <c r="Y124" s="126">
        <v>1</v>
      </c>
      <c r="Z124" s="124">
        <v>1</v>
      </c>
      <c r="AA124" s="126">
        <v>1</v>
      </c>
      <c r="AB124" s="124">
        <v>1</v>
      </c>
      <c r="AC124" s="126">
        <v>0</v>
      </c>
      <c r="AD124" s="124">
        <v>0</v>
      </c>
      <c r="AE124" s="126">
        <v>7</v>
      </c>
      <c r="AF124" s="124">
        <v>0</v>
      </c>
      <c r="AG124" s="126">
        <v>0</v>
      </c>
      <c r="AH124" s="126">
        <v>0</v>
      </c>
      <c r="AI124" s="126"/>
      <c r="AJ124" s="126"/>
      <c r="AK124" s="106">
        <v>179</v>
      </c>
    </row>
    <row r="125" spans="1:37" s="127" customFormat="1" ht="15.75">
      <c r="A125" s="120">
        <v>123</v>
      </c>
      <c r="B125" s="126" t="s">
        <v>282</v>
      </c>
      <c r="C125" s="129" t="s">
        <v>259</v>
      </c>
      <c r="D125" s="122" t="str">
        <f>"4004020"</f>
        <v>4004020</v>
      </c>
      <c r="E125" s="129" t="s">
        <v>22</v>
      </c>
      <c r="F125" s="126" t="s">
        <v>28</v>
      </c>
      <c r="G125" s="129" t="s">
        <v>283</v>
      </c>
      <c r="H125" s="126" t="s">
        <v>285</v>
      </c>
      <c r="I125" s="126"/>
      <c r="J125" s="126"/>
      <c r="K125" s="126"/>
      <c r="L125" s="124"/>
      <c r="M125" s="126"/>
      <c r="N125" s="126"/>
      <c r="O125" s="126"/>
      <c r="P125" s="126"/>
      <c r="Q125" s="126"/>
      <c r="R125" s="126"/>
      <c r="S125" s="126"/>
      <c r="T125" s="124"/>
      <c r="U125" s="126"/>
      <c r="V125" s="126"/>
      <c r="W125" s="126"/>
      <c r="X125" s="126"/>
      <c r="Y125" s="126"/>
      <c r="Z125" s="124">
        <v>0</v>
      </c>
      <c r="AA125" s="126"/>
      <c r="AB125" s="124">
        <v>0</v>
      </c>
      <c r="AC125" s="126"/>
      <c r="AD125" s="124">
        <v>0</v>
      </c>
      <c r="AE125" s="126"/>
      <c r="AF125" s="124">
        <v>0</v>
      </c>
      <c r="AG125" s="126"/>
      <c r="AH125" s="126"/>
      <c r="AI125" s="126"/>
      <c r="AJ125" s="126"/>
      <c r="AK125" s="106">
        <v>173</v>
      </c>
    </row>
    <row r="126" spans="1:37" s="127" customFormat="1" ht="15.75">
      <c r="A126" s="120">
        <v>124</v>
      </c>
      <c r="B126" s="126" t="s">
        <v>282</v>
      </c>
      <c r="C126" s="129" t="s">
        <v>266</v>
      </c>
      <c r="D126" s="122" t="str">
        <f>"4003010"</f>
        <v>4003010</v>
      </c>
      <c r="E126" s="129" t="s">
        <v>22</v>
      </c>
      <c r="F126" s="126" t="s">
        <v>28</v>
      </c>
      <c r="G126" s="129" t="s">
        <v>284</v>
      </c>
      <c r="H126" s="126" t="s">
        <v>284</v>
      </c>
      <c r="I126" s="126">
        <v>3</v>
      </c>
      <c r="J126" s="126">
        <v>1</v>
      </c>
      <c r="K126" s="126">
        <v>2</v>
      </c>
      <c r="L126" s="124">
        <v>1</v>
      </c>
      <c r="M126" s="126">
        <v>1</v>
      </c>
      <c r="N126" s="126">
        <v>1</v>
      </c>
      <c r="O126" s="126">
        <v>0</v>
      </c>
      <c r="P126" s="126"/>
      <c r="Q126" s="126">
        <v>0</v>
      </c>
      <c r="R126" s="126"/>
      <c r="S126" s="126">
        <v>0</v>
      </c>
      <c r="T126" s="124"/>
      <c r="U126" s="126">
        <v>0</v>
      </c>
      <c r="V126" s="126"/>
      <c r="W126" s="126">
        <v>2</v>
      </c>
      <c r="X126" s="126">
        <v>2</v>
      </c>
      <c r="Y126" s="126">
        <v>0</v>
      </c>
      <c r="Z126" s="124">
        <v>0</v>
      </c>
      <c r="AA126" s="126">
        <v>0</v>
      </c>
      <c r="AB126" s="124">
        <v>0</v>
      </c>
      <c r="AC126" s="126">
        <v>0</v>
      </c>
      <c r="AD126" s="124">
        <v>0</v>
      </c>
      <c r="AE126" s="126">
        <v>1</v>
      </c>
      <c r="AF126" s="124">
        <v>0</v>
      </c>
      <c r="AG126" s="126">
        <v>0</v>
      </c>
      <c r="AH126" s="126">
        <v>0</v>
      </c>
      <c r="AI126" s="126"/>
      <c r="AJ126" s="126"/>
      <c r="AK126" s="106">
        <v>95</v>
      </c>
    </row>
    <row r="127" spans="1:37" s="127" customFormat="1" ht="15.75">
      <c r="A127" s="120">
        <v>125</v>
      </c>
      <c r="B127" s="126" t="s">
        <v>282</v>
      </c>
      <c r="C127" s="129" t="s">
        <v>264</v>
      </c>
      <c r="D127" s="122" t="str">
        <f>"4006010"</f>
        <v>4006010</v>
      </c>
      <c r="E127" s="129" t="s">
        <v>22</v>
      </c>
      <c r="F127" s="126" t="s">
        <v>28</v>
      </c>
      <c r="G127" s="129" t="s">
        <v>284</v>
      </c>
      <c r="H127" s="126" t="s">
        <v>287</v>
      </c>
      <c r="I127" s="126">
        <v>4</v>
      </c>
      <c r="J127" s="126">
        <v>2</v>
      </c>
      <c r="K127" s="126">
        <v>4</v>
      </c>
      <c r="L127" s="124">
        <v>2</v>
      </c>
      <c r="M127" s="126">
        <v>2</v>
      </c>
      <c r="N127" s="126">
        <v>1</v>
      </c>
      <c r="O127" s="126">
        <v>2</v>
      </c>
      <c r="P127" s="126"/>
      <c r="Q127" s="126">
        <v>1</v>
      </c>
      <c r="R127" s="126">
        <v>1</v>
      </c>
      <c r="S127" s="126">
        <v>1</v>
      </c>
      <c r="T127" s="124"/>
      <c r="U127" s="126">
        <v>1</v>
      </c>
      <c r="V127" s="126"/>
      <c r="W127" s="126">
        <v>2</v>
      </c>
      <c r="X127" s="126">
        <v>2</v>
      </c>
      <c r="Y127" s="126">
        <v>1</v>
      </c>
      <c r="Z127" s="124">
        <v>1</v>
      </c>
      <c r="AA127" s="126">
        <v>0</v>
      </c>
      <c r="AB127" s="124">
        <v>0</v>
      </c>
      <c r="AC127" s="126">
        <v>0</v>
      </c>
      <c r="AD127" s="124">
        <v>0</v>
      </c>
      <c r="AE127" s="126">
        <v>3</v>
      </c>
      <c r="AF127" s="124">
        <v>0</v>
      </c>
      <c r="AG127" s="126">
        <v>0</v>
      </c>
      <c r="AH127" s="126">
        <v>0</v>
      </c>
      <c r="AI127" s="126"/>
      <c r="AJ127" s="126"/>
      <c r="AK127" s="106">
        <v>163</v>
      </c>
    </row>
    <row r="128" spans="1:37" s="127" customFormat="1" ht="15.75">
      <c r="A128" s="120">
        <v>126</v>
      </c>
      <c r="B128" s="126" t="s">
        <v>282</v>
      </c>
      <c r="C128" s="129" t="s">
        <v>267</v>
      </c>
      <c r="D128" s="122" t="str">
        <f>"4001005"</f>
        <v>4001005</v>
      </c>
      <c r="E128" s="129" t="s">
        <v>22</v>
      </c>
      <c r="F128" s="126" t="s">
        <v>28</v>
      </c>
      <c r="G128" s="129" t="s">
        <v>28</v>
      </c>
      <c r="H128" s="126" t="s">
        <v>28</v>
      </c>
      <c r="I128" s="126">
        <v>0</v>
      </c>
      <c r="J128" s="126">
        <v>0</v>
      </c>
      <c r="K128" s="126">
        <v>0</v>
      </c>
      <c r="L128" s="124"/>
      <c r="M128" s="126">
        <v>0</v>
      </c>
      <c r="N128" s="126"/>
      <c r="O128" s="126">
        <v>0</v>
      </c>
      <c r="P128" s="126"/>
      <c r="Q128" s="126">
        <v>0</v>
      </c>
      <c r="R128" s="126"/>
      <c r="S128" s="126">
        <v>0</v>
      </c>
      <c r="T128" s="124"/>
      <c r="U128" s="126">
        <v>0</v>
      </c>
      <c r="V128" s="126"/>
      <c r="W128" s="126">
        <v>0</v>
      </c>
      <c r="X128" s="126">
        <v>0</v>
      </c>
      <c r="Y128" s="126">
        <v>0</v>
      </c>
      <c r="Z128" s="124">
        <v>0</v>
      </c>
      <c r="AA128" s="126">
        <v>0</v>
      </c>
      <c r="AB128" s="124">
        <v>0</v>
      </c>
      <c r="AC128" s="126">
        <v>0</v>
      </c>
      <c r="AD128" s="124">
        <v>0</v>
      </c>
      <c r="AE128" s="126">
        <v>0</v>
      </c>
      <c r="AF128" s="124">
        <v>0</v>
      </c>
      <c r="AG128" s="126">
        <v>0</v>
      </c>
      <c r="AH128" s="126">
        <v>0</v>
      </c>
      <c r="AI128" s="126"/>
      <c r="AJ128" s="126"/>
      <c r="AK128" s="110">
        <v>35</v>
      </c>
    </row>
    <row r="129" spans="1:37" s="127" customFormat="1" ht="15.75">
      <c r="A129" s="120">
        <v>127</v>
      </c>
      <c r="B129" s="126" t="s">
        <v>282</v>
      </c>
      <c r="C129" s="129" t="s">
        <v>257</v>
      </c>
      <c r="D129" s="122" t="str">
        <f>"4001010"</f>
        <v>4001010</v>
      </c>
      <c r="E129" s="129" t="s">
        <v>22</v>
      </c>
      <c r="F129" s="126" t="s">
        <v>28</v>
      </c>
      <c r="G129" s="129" t="s">
        <v>28</v>
      </c>
      <c r="H129" s="126" t="s">
        <v>28</v>
      </c>
      <c r="I129" s="126">
        <v>3</v>
      </c>
      <c r="J129" s="126">
        <v>1</v>
      </c>
      <c r="K129" s="126">
        <v>0</v>
      </c>
      <c r="L129" s="124"/>
      <c r="M129" s="126">
        <v>2</v>
      </c>
      <c r="N129" s="126">
        <v>1</v>
      </c>
      <c r="O129" s="126">
        <v>3</v>
      </c>
      <c r="P129" s="126"/>
      <c r="Q129" s="126">
        <v>0</v>
      </c>
      <c r="R129" s="126"/>
      <c r="S129" s="126">
        <v>0</v>
      </c>
      <c r="T129" s="124"/>
      <c r="U129" s="126">
        <v>0</v>
      </c>
      <c r="V129" s="126"/>
      <c r="W129" s="126">
        <v>2</v>
      </c>
      <c r="X129" s="126">
        <v>2</v>
      </c>
      <c r="Y129" s="126">
        <v>0</v>
      </c>
      <c r="Z129" s="124">
        <v>0</v>
      </c>
      <c r="AA129" s="126" t="s">
        <v>874</v>
      </c>
      <c r="AB129" s="124">
        <v>0</v>
      </c>
      <c r="AC129" s="126">
        <v>0</v>
      </c>
      <c r="AD129" s="124">
        <v>0</v>
      </c>
      <c r="AE129" s="126">
        <v>2</v>
      </c>
      <c r="AF129" s="124">
        <v>0</v>
      </c>
      <c r="AG129" s="126">
        <v>0</v>
      </c>
      <c r="AH129" s="126">
        <v>0</v>
      </c>
      <c r="AI129" s="126" t="s">
        <v>841</v>
      </c>
      <c r="AJ129" s="126" t="s">
        <v>841</v>
      </c>
      <c r="AK129" s="106">
        <v>158</v>
      </c>
    </row>
    <row r="130" spans="1:37" s="127" customFormat="1" ht="15.75">
      <c r="A130" s="120">
        <v>128</v>
      </c>
      <c r="B130" s="126" t="s">
        <v>282</v>
      </c>
      <c r="C130" s="129" t="s">
        <v>258</v>
      </c>
      <c r="D130" s="122" t="str">
        <f>"4001020"</f>
        <v>4001020</v>
      </c>
      <c r="E130" s="129" t="s">
        <v>22</v>
      </c>
      <c r="F130" s="126" t="s">
        <v>28</v>
      </c>
      <c r="G130" s="129" t="s">
        <v>28</v>
      </c>
      <c r="H130" s="126" t="s">
        <v>28</v>
      </c>
      <c r="I130" s="126">
        <v>4</v>
      </c>
      <c r="J130" s="126">
        <v>1</v>
      </c>
      <c r="K130" s="126">
        <v>4</v>
      </c>
      <c r="L130" s="124">
        <v>2</v>
      </c>
      <c r="M130" s="126">
        <v>0</v>
      </c>
      <c r="N130" s="126"/>
      <c r="O130" s="126">
        <v>2</v>
      </c>
      <c r="P130" s="126">
        <v>1</v>
      </c>
      <c r="Q130" s="126">
        <v>2</v>
      </c>
      <c r="R130" s="126">
        <v>1</v>
      </c>
      <c r="S130" s="126">
        <v>1</v>
      </c>
      <c r="T130" s="124"/>
      <c r="U130" s="126">
        <v>1</v>
      </c>
      <c r="V130" s="126"/>
      <c r="W130" s="126">
        <v>2</v>
      </c>
      <c r="X130" s="126">
        <v>2</v>
      </c>
      <c r="Y130" s="126">
        <v>1</v>
      </c>
      <c r="Z130" s="124">
        <v>1</v>
      </c>
      <c r="AA130" s="126">
        <v>0</v>
      </c>
      <c r="AB130" s="124">
        <v>0</v>
      </c>
      <c r="AC130" s="126">
        <v>0</v>
      </c>
      <c r="AD130" s="124">
        <v>0</v>
      </c>
      <c r="AE130" s="126">
        <v>0</v>
      </c>
      <c r="AF130" s="124">
        <v>0</v>
      </c>
      <c r="AG130" s="126">
        <v>0</v>
      </c>
      <c r="AH130" s="126">
        <v>0</v>
      </c>
      <c r="AI130" s="126"/>
      <c r="AJ130" s="126"/>
      <c r="AK130" s="106">
        <v>184</v>
      </c>
    </row>
    <row r="131" spans="1:37" s="127" customFormat="1" ht="15.75">
      <c r="A131" s="120">
        <v>129</v>
      </c>
      <c r="B131" s="126" t="s">
        <v>282</v>
      </c>
      <c r="C131" s="129" t="s">
        <v>260</v>
      </c>
      <c r="D131" s="122" t="str">
        <f>"4001030"</f>
        <v>4001030</v>
      </c>
      <c r="E131" s="129" t="s">
        <v>22</v>
      </c>
      <c r="F131" s="126" t="s">
        <v>28</v>
      </c>
      <c r="G131" s="129" t="s">
        <v>28</v>
      </c>
      <c r="H131" s="126" t="s">
        <v>28</v>
      </c>
      <c r="I131" s="126"/>
      <c r="J131" s="126"/>
      <c r="K131" s="126">
        <v>1</v>
      </c>
      <c r="L131" s="124">
        <v>1</v>
      </c>
      <c r="M131" s="126">
        <v>1</v>
      </c>
      <c r="N131" s="126">
        <v>1</v>
      </c>
      <c r="O131" s="126">
        <v>1</v>
      </c>
      <c r="P131" s="126"/>
      <c r="Q131" s="126">
        <v>2</v>
      </c>
      <c r="R131" s="126">
        <v>1</v>
      </c>
      <c r="S131" s="126">
        <v>1</v>
      </c>
      <c r="T131" s="124"/>
      <c r="U131" s="126">
        <v>0</v>
      </c>
      <c r="V131" s="126"/>
      <c r="W131" s="126">
        <v>1</v>
      </c>
      <c r="X131" s="126">
        <v>1</v>
      </c>
      <c r="Y131" s="126"/>
      <c r="Z131" s="124">
        <v>0</v>
      </c>
      <c r="AA131" s="126">
        <v>1</v>
      </c>
      <c r="AB131" s="124">
        <v>1</v>
      </c>
      <c r="AC131" s="126">
        <v>1</v>
      </c>
      <c r="AD131" s="124">
        <v>1</v>
      </c>
      <c r="AE131" s="126">
        <v>9</v>
      </c>
      <c r="AF131" s="124">
        <v>0</v>
      </c>
      <c r="AG131" s="126">
        <v>0</v>
      </c>
      <c r="AH131" s="126">
        <v>0</v>
      </c>
      <c r="AI131" s="126" t="s">
        <v>834</v>
      </c>
      <c r="AJ131" s="126" t="s">
        <v>834</v>
      </c>
      <c r="AK131" s="106">
        <v>181</v>
      </c>
    </row>
    <row r="132" spans="1:37" s="127" customFormat="1" ht="15.75">
      <c r="A132" s="120">
        <v>130</v>
      </c>
      <c r="B132" s="126" t="s">
        <v>282</v>
      </c>
      <c r="C132" s="129" t="s">
        <v>261</v>
      </c>
      <c r="D132" s="122" t="str">
        <f>"4001035"</f>
        <v>4001035</v>
      </c>
      <c r="E132" s="129" t="s">
        <v>22</v>
      </c>
      <c r="F132" s="126" t="s">
        <v>28</v>
      </c>
      <c r="G132" s="129" t="s">
        <v>28</v>
      </c>
      <c r="H132" s="126" t="s">
        <v>28</v>
      </c>
      <c r="I132" s="126">
        <v>10</v>
      </c>
      <c r="J132" s="126">
        <v>3</v>
      </c>
      <c r="K132" s="126">
        <v>4</v>
      </c>
      <c r="L132" s="124">
        <v>2</v>
      </c>
      <c r="M132" s="126">
        <v>2</v>
      </c>
      <c r="N132" s="126">
        <v>1</v>
      </c>
      <c r="O132" s="126">
        <v>0</v>
      </c>
      <c r="P132" s="126"/>
      <c r="Q132" s="126">
        <v>0</v>
      </c>
      <c r="R132" s="126"/>
      <c r="S132" s="126">
        <v>0</v>
      </c>
      <c r="T132" s="124"/>
      <c r="U132" s="126">
        <v>0</v>
      </c>
      <c r="V132" s="126"/>
      <c r="W132" s="126">
        <v>4</v>
      </c>
      <c r="X132" s="126">
        <v>4</v>
      </c>
      <c r="Y132" s="126">
        <v>1</v>
      </c>
      <c r="Z132" s="124">
        <v>1</v>
      </c>
      <c r="AA132" s="126">
        <v>0</v>
      </c>
      <c r="AB132" s="124">
        <v>0</v>
      </c>
      <c r="AC132" s="126">
        <v>0</v>
      </c>
      <c r="AD132" s="124">
        <v>0</v>
      </c>
      <c r="AE132" s="126">
        <v>0</v>
      </c>
      <c r="AF132" s="124">
        <v>0</v>
      </c>
      <c r="AG132" s="126">
        <v>0</v>
      </c>
      <c r="AH132" s="126">
        <v>0</v>
      </c>
      <c r="AI132" s="126"/>
      <c r="AJ132" s="126"/>
      <c r="AK132" s="106">
        <v>174</v>
      </c>
    </row>
    <row r="133" spans="1:37" s="127" customFormat="1" ht="15.75">
      <c r="A133" s="120">
        <v>131</v>
      </c>
      <c r="B133" s="126" t="s">
        <v>282</v>
      </c>
      <c r="C133" s="129" t="s">
        <v>268</v>
      </c>
      <c r="D133" s="122" t="str">
        <f>"4001037"</f>
        <v>4001037</v>
      </c>
      <c r="E133" s="129" t="s">
        <v>22</v>
      </c>
      <c r="F133" s="126" t="s">
        <v>28</v>
      </c>
      <c r="G133" s="129" t="s">
        <v>28</v>
      </c>
      <c r="H133" s="126" t="s">
        <v>28</v>
      </c>
      <c r="I133" s="126">
        <v>12</v>
      </c>
      <c r="J133" s="126">
        <v>3</v>
      </c>
      <c r="K133" s="126">
        <v>3</v>
      </c>
      <c r="L133" s="124">
        <v>1</v>
      </c>
      <c r="M133" s="126">
        <v>2</v>
      </c>
      <c r="N133" s="126">
        <v>1</v>
      </c>
      <c r="O133" s="126">
        <v>3</v>
      </c>
      <c r="P133" s="126"/>
      <c r="Q133" s="126">
        <v>2</v>
      </c>
      <c r="R133" s="126">
        <v>1</v>
      </c>
      <c r="S133" s="126">
        <v>1</v>
      </c>
      <c r="T133" s="124"/>
      <c r="U133" s="126">
        <v>2</v>
      </c>
      <c r="V133" s="126"/>
      <c r="W133" s="126">
        <v>4</v>
      </c>
      <c r="X133" s="126">
        <v>4</v>
      </c>
      <c r="Y133" s="126">
        <v>1</v>
      </c>
      <c r="Z133" s="124">
        <v>1</v>
      </c>
      <c r="AA133" s="126">
        <v>3</v>
      </c>
      <c r="AB133" s="124">
        <v>1</v>
      </c>
      <c r="AC133" s="126">
        <v>2</v>
      </c>
      <c r="AD133" s="124">
        <v>1</v>
      </c>
      <c r="AE133" s="126">
        <v>5</v>
      </c>
      <c r="AF133" s="124">
        <v>0</v>
      </c>
      <c r="AG133" s="126">
        <v>0</v>
      </c>
      <c r="AH133" s="126">
        <v>0</v>
      </c>
      <c r="AI133" s="126"/>
      <c r="AJ133" s="126"/>
      <c r="AK133" s="106">
        <v>228</v>
      </c>
    </row>
    <row r="134" spans="1:37" s="127" customFormat="1" ht="15.75">
      <c r="A134" s="120">
        <v>132</v>
      </c>
      <c r="B134" s="126" t="s">
        <v>282</v>
      </c>
      <c r="C134" s="129" t="s">
        <v>262</v>
      </c>
      <c r="D134" s="122" t="str">
        <f>"4001040"</f>
        <v>4001040</v>
      </c>
      <c r="E134" s="129" t="s">
        <v>22</v>
      </c>
      <c r="F134" s="126" t="s">
        <v>28</v>
      </c>
      <c r="G134" s="129" t="s">
        <v>28</v>
      </c>
      <c r="H134" s="126" t="s">
        <v>290</v>
      </c>
      <c r="I134" s="126">
        <v>0</v>
      </c>
      <c r="J134" s="126">
        <v>0</v>
      </c>
      <c r="K134" s="126">
        <v>5</v>
      </c>
      <c r="L134" s="124">
        <v>1</v>
      </c>
      <c r="M134" s="126">
        <v>1</v>
      </c>
      <c r="N134" s="126">
        <v>1</v>
      </c>
      <c r="O134" s="126">
        <v>0</v>
      </c>
      <c r="P134" s="126"/>
      <c r="Q134" s="126">
        <v>1</v>
      </c>
      <c r="R134" s="126">
        <v>1</v>
      </c>
      <c r="S134" s="126">
        <v>0</v>
      </c>
      <c r="T134" s="124"/>
      <c r="U134" s="126">
        <v>1</v>
      </c>
      <c r="V134" s="126"/>
      <c r="W134" s="126">
        <v>0</v>
      </c>
      <c r="X134" s="126">
        <v>0</v>
      </c>
      <c r="Y134" s="126">
        <v>0</v>
      </c>
      <c r="Z134" s="124">
        <v>0</v>
      </c>
      <c r="AA134" s="126">
        <v>0</v>
      </c>
      <c r="AB134" s="124">
        <v>0</v>
      </c>
      <c r="AC134" s="126">
        <v>0</v>
      </c>
      <c r="AD134" s="124">
        <v>0</v>
      </c>
      <c r="AE134" s="126">
        <v>1</v>
      </c>
      <c r="AF134" s="124">
        <v>0</v>
      </c>
      <c r="AG134" s="126">
        <v>0</v>
      </c>
      <c r="AH134" s="126">
        <v>0</v>
      </c>
      <c r="AI134" s="126"/>
      <c r="AJ134" s="126"/>
      <c r="AK134" s="106">
        <v>77</v>
      </c>
    </row>
    <row r="135" spans="1:37" s="127" customFormat="1" ht="15.75">
      <c r="A135" s="120">
        <v>133</v>
      </c>
      <c r="B135" s="126" t="s">
        <v>282</v>
      </c>
      <c r="C135" s="129" t="s">
        <v>265</v>
      </c>
      <c r="D135" s="122" t="str">
        <f>"4005010"</f>
        <v>4005010</v>
      </c>
      <c r="E135" s="129" t="s">
        <v>22</v>
      </c>
      <c r="F135" s="126" t="s">
        <v>28</v>
      </c>
      <c r="G135" s="129" t="s">
        <v>28</v>
      </c>
      <c r="H135" s="126" t="s">
        <v>288</v>
      </c>
      <c r="I135" s="126"/>
      <c r="J135" s="126"/>
      <c r="K135" s="126">
        <v>1</v>
      </c>
      <c r="L135" s="124">
        <v>1</v>
      </c>
      <c r="M135" s="126">
        <v>1</v>
      </c>
      <c r="N135" s="126">
        <v>1</v>
      </c>
      <c r="O135" s="126">
        <v>0</v>
      </c>
      <c r="P135" s="126"/>
      <c r="Q135" s="126">
        <v>1</v>
      </c>
      <c r="R135" s="126">
        <v>1</v>
      </c>
      <c r="S135" s="126">
        <v>0</v>
      </c>
      <c r="T135" s="124"/>
      <c r="U135" s="126">
        <v>1</v>
      </c>
      <c r="V135" s="126"/>
      <c r="W135" s="126">
        <v>0</v>
      </c>
      <c r="X135" s="126">
        <v>0</v>
      </c>
      <c r="Y135" s="126">
        <v>0</v>
      </c>
      <c r="Z135" s="124">
        <v>0</v>
      </c>
      <c r="AA135" s="126">
        <v>0</v>
      </c>
      <c r="AB135" s="124">
        <v>0</v>
      </c>
      <c r="AC135" s="126">
        <v>0</v>
      </c>
      <c r="AD135" s="124">
        <v>0</v>
      </c>
      <c r="AE135" s="126">
        <v>3</v>
      </c>
      <c r="AF135" s="124">
        <v>0</v>
      </c>
      <c r="AG135" s="126">
        <v>0</v>
      </c>
      <c r="AH135" s="126">
        <v>0</v>
      </c>
      <c r="AI135" s="126" t="s">
        <v>841</v>
      </c>
      <c r="AJ135" s="126" t="s">
        <v>841</v>
      </c>
      <c r="AK135" s="106">
        <v>103</v>
      </c>
    </row>
    <row r="136" spans="1:37" s="127" customFormat="1" ht="15.75">
      <c r="A136" s="120">
        <v>134</v>
      </c>
      <c r="B136" s="126" t="s">
        <v>282</v>
      </c>
      <c r="C136" s="129" t="s">
        <v>269</v>
      </c>
      <c r="D136" s="122" t="str">
        <f>"4041001"</f>
        <v>4041001</v>
      </c>
      <c r="E136" s="129" t="s">
        <v>85</v>
      </c>
      <c r="F136" s="126" t="s">
        <v>28</v>
      </c>
      <c r="G136" s="129" t="s">
        <v>28</v>
      </c>
      <c r="H136" s="126" t="s">
        <v>289</v>
      </c>
      <c r="I136" s="126">
        <v>3</v>
      </c>
      <c r="J136" s="126">
        <v>1</v>
      </c>
      <c r="K136" s="126">
        <v>0</v>
      </c>
      <c r="L136" s="124"/>
      <c r="M136" s="126">
        <v>0</v>
      </c>
      <c r="N136" s="126"/>
      <c r="O136" s="126">
        <v>0</v>
      </c>
      <c r="P136" s="126"/>
      <c r="Q136" s="126">
        <v>0</v>
      </c>
      <c r="R136" s="126"/>
      <c r="S136" s="126">
        <v>0</v>
      </c>
      <c r="T136" s="124"/>
      <c r="U136" s="126">
        <v>1</v>
      </c>
      <c r="V136" s="126">
        <v>1</v>
      </c>
      <c r="W136" s="126">
        <v>0</v>
      </c>
      <c r="X136" s="126">
        <v>0</v>
      </c>
      <c r="Y136" s="126">
        <v>0</v>
      </c>
      <c r="Z136" s="124">
        <v>0</v>
      </c>
      <c r="AA136" s="126">
        <v>0</v>
      </c>
      <c r="AB136" s="124">
        <v>0</v>
      </c>
      <c r="AC136" s="126">
        <v>0</v>
      </c>
      <c r="AD136" s="124">
        <v>0</v>
      </c>
      <c r="AE136" s="126">
        <v>0</v>
      </c>
      <c r="AF136" s="124">
        <v>0</v>
      </c>
      <c r="AG136" s="126">
        <v>0</v>
      </c>
      <c r="AH136" s="126">
        <v>0</v>
      </c>
      <c r="AI136" s="126"/>
      <c r="AJ136" s="126"/>
      <c r="AK136" s="106">
        <v>22</v>
      </c>
    </row>
    <row r="137" spans="1:37" s="127" customFormat="1" ht="15.75">
      <c r="A137" s="120">
        <v>135</v>
      </c>
      <c r="B137" s="126" t="s">
        <v>282</v>
      </c>
      <c r="C137" s="129" t="s">
        <v>271</v>
      </c>
      <c r="D137" s="122" t="str">
        <f>"4040050"</f>
        <v>4040050</v>
      </c>
      <c r="E137" s="129" t="s">
        <v>86</v>
      </c>
      <c r="F137" s="126" t="s">
        <v>28</v>
      </c>
      <c r="G137" s="129" t="s">
        <v>283</v>
      </c>
      <c r="H137" s="126" t="s">
        <v>285</v>
      </c>
      <c r="I137" s="126"/>
      <c r="J137" s="126"/>
      <c r="K137" s="126"/>
      <c r="L137" s="124"/>
      <c r="M137" s="126"/>
      <c r="N137" s="126"/>
      <c r="O137" s="126"/>
      <c r="P137" s="126"/>
      <c r="Q137" s="126"/>
      <c r="R137" s="126"/>
      <c r="S137" s="126"/>
      <c r="T137" s="124"/>
      <c r="U137" s="126"/>
      <c r="V137" s="126"/>
      <c r="W137" s="126"/>
      <c r="X137" s="126"/>
      <c r="Y137" s="126"/>
      <c r="Z137" s="124">
        <v>0</v>
      </c>
      <c r="AA137" s="126"/>
      <c r="AB137" s="124">
        <v>0</v>
      </c>
      <c r="AC137" s="126"/>
      <c r="AD137" s="124">
        <v>0</v>
      </c>
      <c r="AE137" s="126"/>
      <c r="AF137" s="124">
        <v>0</v>
      </c>
      <c r="AG137" s="126"/>
      <c r="AH137" s="126"/>
      <c r="AI137" s="126"/>
      <c r="AJ137" s="126"/>
      <c r="AK137" s="106">
        <v>271</v>
      </c>
    </row>
    <row r="138" spans="1:37" s="127" customFormat="1" ht="15.75">
      <c r="A138" s="120">
        <v>136</v>
      </c>
      <c r="B138" s="126" t="s">
        <v>282</v>
      </c>
      <c r="C138" s="129" t="s">
        <v>272</v>
      </c>
      <c r="D138" s="122" t="str">
        <f>"4040060"</f>
        <v>4040060</v>
      </c>
      <c r="E138" s="129" t="s">
        <v>86</v>
      </c>
      <c r="F138" s="126" t="s">
        <v>28</v>
      </c>
      <c r="G138" s="129" t="s">
        <v>284</v>
      </c>
      <c r="H138" s="126" t="s">
        <v>287</v>
      </c>
      <c r="I138" s="126"/>
      <c r="J138" s="126"/>
      <c r="K138" s="126"/>
      <c r="L138" s="124"/>
      <c r="M138" s="126"/>
      <c r="N138" s="126"/>
      <c r="O138" s="126"/>
      <c r="P138" s="126"/>
      <c r="Q138" s="126"/>
      <c r="R138" s="126"/>
      <c r="S138" s="126"/>
      <c r="T138" s="124"/>
      <c r="U138" s="126"/>
      <c r="V138" s="126"/>
      <c r="W138" s="126"/>
      <c r="X138" s="126"/>
      <c r="Y138" s="126"/>
      <c r="Z138" s="124">
        <v>0</v>
      </c>
      <c r="AA138" s="126"/>
      <c r="AB138" s="124">
        <v>0</v>
      </c>
      <c r="AC138" s="126"/>
      <c r="AD138" s="124">
        <v>0</v>
      </c>
      <c r="AE138" s="126"/>
      <c r="AF138" s="124">
        <v>0</v>
      </c>
      <c r="AG138" s="126"/>
      <c r="AH138" s="126"/>
      <c r="AI138" s="126"/>
      <c r="AJ138" s="126"/>
      <c r="AK138" s="109">
        <v>91</v>
      </c>
    </row>
    <row r="139" spans="1:37" s="127" customFormat="1" ht="15.75">
      <c r="A139" s="120">
        <v>137</v>
      </c>
      <c r="B139" s="126" t="s">
        <v>282</v>
      </c>
      <c r="C139" s="129" t="s">
        <v>270</v>
      </c>
      <c r="D139" s="122" t="str">
        <f>"4040030"</f>
        <v>4040030</v>
      </c>
      <c r="E139" s="129" t="s">
        <v>86</v>
      </c>
      <c r="F139" s="126" t="s">
        <v>28</v>
      </c>
      <c r="G139" s="129" t="s">
        <v>28</v>
      </c>
      <c r="H139" s="126" t="s">
        <v>28</v>
      </c>
      <c r="I139" s="126"/>
      <c r="J139" s="126"/>
      <c r="K139" s="126"/>
      <c r="L139" s="124"/>
      <c r="M139" s="126">
        <v>3</v>
      </c>
      <c r="N139" s="126"/>
      <c r="O139" s="126">
        <v>2</v>
      </c>
      <c r="P139" s="126"/>
      <c r="Q139" s="126">
        <v>2</v>
      </c>
      <c r="R139" s="126"/>
      <c r="S139" s="126">
        <v>2</v>
      </c>
      <c r="T139" s="124"/>
      <c r="U139" s="126">
        <v>1</v>
      </c>
      <c r="V139" s="126"/>
      <c r="W139" s="126">
        <v>1</v>
      </c>
      <c r="X139" s="126"/>
      <c r="Y139" s="126"/>
      <c r="Z139" s="124">
        <v>0</v>
      </c>
      <c r="AA139" s="126">
        <v>0</v>
      </c>
      <c r="AB139" s="124">
        <v>0</v>
      </c>
      <c r="AC139" s="126">
        <v>0</v>
      </c>
      <c r="AD139" s="124">
        <v>0</v>
      </c>
      <c r="AE139" s="126">
        <v>8</v>
      </c>
      <c r="AF139" s="124">
        <v>0</v>
      </c>
      <c r="AG139" s="126">
        <v>0</v>
      </c>
      <c r="AH139" s="126">
        <v>0</v>
      </c>
      <c r="AI139" s="126" t="s">
        <v>841</v>
      </c>
      <c r="AJ139" s="126"/>
      <c r="AK139" s="118">
        <v>271</v>
      </c>
    </row>
    <row r="140" spans="1:37" s="127" customFormat="1" ht="15.75">
      <c r="A140" s="120">
        <v>138</v>
      </c>
      <c r="B140" s="126" t="s">
        <v>282</v>
      </c>
      <c r="C140" s="129" t="s">
        <v>273</v>
      </c>
      <c r="D140" s="122" t="str">
        <f>"4053001"</f>
        <v>4053001</v>
      </c>
      <c r="E140" s="129" t="s">
        <v>86</v>
      </c>
      <c r="F140" s="126" t="s">
        <v>28</v>
      </c>
      <c r="G140" s="129" t="s">
        <v>28</v>
      </c>
      <c r="H140" s="126" t="s">
        <v>28</v>
      </c>
      <c r="I140" s="126"/>
      <c r="J140" s="126"/>
      <c r="K140" s="126">
        <v>1</v>
      </c>
      <c r="L140" s="124"/>
      <c r="M140" s="126">
        <v>2</v>
      </c>
      <c r="N140" s="126"/>
      <c r="O140" s="126">
        <v>2</v>
      </c>
      <c r="P140" s="126"/>
      <c r="Q140" s="126">
        <v>1</v>
      </c>
      <c r="R140" s="126"/>
      <c r="S140" s="126">
        <v>1</v>
      </c>
      <c r="T140" s="124"/>
      <c r="U140" s="126">
        <v>1</v>
      </c>
      <c r="V140" s="126"/>
      <c r="W140" s="126">
        <v>1</v>
      </c>
      <c r="X140" s="126"/>
      <c r="Y140" s="126">
        <v>0</v>
      </c>
      <c r="Z140" s="124">
        <v>0</v>
      </c>
      <c r="AA140" s="126" t="s">
        <v>875</v>
      </c>
      <c r="AB140" s="124">
        <v>0</v>
      </c>
      <c r="AC140" s="126" t="s">
        <v>876</v>
      </c>
      <c r="AD140" s="124">
        <v>0</v>
      </c>
      <c r="AE140" s="126">
        <v>3</v>
      </c>
      <c r="AF140" s="124">
        <v>0</v>
      </c>
      <c r="AG140" s="126">
        <v>0</v>
      </c>
      <c r="AH140" s="126">
        <v>0</v>
      </c>
      <c r="AI140" s="126" t="s">
        <v>841</v>
      </c>
      <c r="AJ140" s="126"/>
      <c r="AK140" s="106">
        <v>54</v>
      </c>
    </row>
    <row r="141" spans="1:37" s="127" customFormat="1" ht="15.75">
      <c r="A141" s="120">
        <v>139</v>
      </c>
      <c r="B141" s="126" t="s">
        <v>282</v>
      </c>
      <c r="C141" s="129" t="s">
        <v>277</v>
      </c>
      <c r="D141" s="122" t="str">
        <f>"4052010"</f>
        <v>4052010</v>
      </c>
      <c r="E141" s="126" t="s">
        <v>23</v>
      </c>
      <c r="F141" s="126" t="s">
        <v>28</v>
      </c>
      <c r="G141" s="129" t="s">
        <v>283</v>
      </c>
      <c r="H141" s="126" t="s">
        <v>286</v>
      </c>
      <c r="I141" s="126"/>
      <c r="J141" s="126">
        <v>2</v>
      </c>
      <c r="K141" s="126">
        <v>1</v>
      </c>
      <c r="L141" s="124">
        <v>1</v>
      </c>
      <c r="M141" s="126">
        <v>1</v>
      </c>
      <c r="N141" s="126">
        <v>1</v>
      </c>
      <c r="O141" s="126">
        <v>0</v>
      </c>
      <c r="P141" s="126">
        <v>1</v>
      </c>
      <c r="Q141" s="126">
        <v>0</v>
      </c>
      <c r="R141" s="126"/>
      <c r="S141" s="126">
        <v>0</v>
      </c>
      <c r="T141" s="124"/>
      <c r="U141" s="126">
        <v>0</v>
      </c>
      <c r="V141" s="126"/>
      <c r="W141" s="126">
        <v>0</v>
      </c>
      <c r="X141" s="126">
        <v>0</v>
      </c>
      <c r="Y141" s="126">
        <v>0</v>
      </c>
      <c r="Z141" s="124">
        <v>0</v>
      </c>
      <c r="AA141" s="126">
        <v>0</v>
      </c>
      <c r="AB141" s="124">
        <v>0</v>
      </c>
      <c r="AC141" s="126">
        <v>0</v>
      </c>
      <c r="AD141" s="124">
        <v>0</v>
      </c>
      <c r="AE141" s="126">
        <v>0</v>
      </c>
      <c r="AF141" s="124">
        <v>0</v>
      </c>
      <c r="AG141" s="126">
        <v>0</v>
      </c>
      <c r="AH141" s="126">
        <v>0</v>
      </c>
      <c r="AI141" s="126" t="s">
        <v>841</v>
      </c>
      <c r="AJ141" s="126" t="s">
        <v>841</v>
      </c>
      <c r="AK141" s="106">
        <v>318</v>
      </c>
    </row>
    <row r="142" spans="1:37" s="127" customFormat="1" ht="15.75">
      <c r="A142" s="120">
        <v>140</v>
      </c>
      <c r="B142" s="126" t="s">
        <v>282</v>
      </c>
      <c r="C142" s="129" t="s">
        <v>275</v>
      </c>
      <c r="D142" s="122" t="str">
        <f>"4054010"</f>
        <v>4054010</v>
      </c>
      <c r="E142" s="126" t="s">
        <v>23</v>
      </c>
      <c r="F142" s="126" t="s">
        <v>28</v>
      </c>
      <c r="G142" s="129" t="s">
        <v>283</v>
      </c>
      <c r="H142" s="126" t="s">
        <v>285</v>
      </c>
      <c r="I142" s="126"/>
      <c r="J142" s="126">
        <v>2</v>
      </c>
      <c r="K142" s="126">
        <v>1</v>
      </c>
      <c r="L142" s="124">
        <v>1</v>
      </c>
      <c r="M142" s="126">
        <v>4</v>
      </c>
      <c r="N142" s="126">
        <v>1</v>
      </c>
      <c r="O142" s="126">
        <v>3</v>
      </c>
      <c r="P142" s="126"/>
      <c r="Q142" s="126">
        <v>4</v>
      </c>
      <c r="R142" s="126">
        <v>1</v>
      </c>
      <c r="S142" s="126">
        <v>3</v>
      </c>
      <c r="T142" s="124"/>
      <c r="U142" s="126">
        <v>4</v>
      </c>
      <c r="V142" s="126"/>
      <c r="W142" s="126">
        <v>2</v>
      </c>
      <c r="X142" s="126">
        <v>2</v>
      </c>
      <c r="Y142" s="126"/>
      <c r="Z142" s="124">
        <v>0</v>
      </c>
      <c r="AA142" s="126">
        <v>2</v>
      </c>
      <c r="AB142" s="124">
        <v>1</v>
      </c>
      <c r="AC142" s="126">
        <v>2</v>
      </c>
      <c r="AD142" s="124">
        <v>1</v>
      </c>
      <c r="AE142" s="126">
        <v>3</v>
      </c>
      <c r="AF142" s="124">
        <v>0</v>
      </c>
      <c r="AG142" s="126">
        <v>0</v>
      </c>
      <c r="AH142" s="126">
        <v>0</v>
      </c>
      <c r="AI142" s="126" t="s">
        <v>841</v>
      </c>
      <c r="AJ142" s="126" t="s">
        <v>841</v>
      </c>
      <c r="AK142" s="106">
        <v>243</v>
      </c>
    </row>
    <row r="143" spans="1:37" s="127" customFormat="1" ht="15.75">
      <c r="A143" s="120">
        <v>141</v>
      </c>
      <c r="B143" s="126" t="s">
        <v>282</v>
      </c>
      <c r="C143" s="129" t="s">
        <v>279</v>
      </c>
      <c r="D143" s="122" t="str">
        <f>"4053010"</f>
        <v>4053010</v>
      </c>
      <c r="E143" s="126" t="s">
        <v>23</v>
      </c>
      <c r="F143" s="126" t="s">
        <v>28</v>
      </c>
      <c r="G143" s="129" t="s">
        <v>284</v>
      </c>
      <c r="H143" s="126" t="s">
        <v>284</v>
      </c>
      <c r="I143" s="126"/>
      <c r="J143" s="126"/>
      <c r="K143" s="126">
        <v>0</v>
      </c>
      <c r="L143" s="124"/>
      <c r="M143" s="126">
        <v>0</v>
      </c>
      <c r="N143" s="126">
        <v>0</v>
      </c>
      <c r="O143" s="126">
        <v>0</v>
      </c>
      <c r="P143" s="126"/>
      <c r="Q143" s="126">
        <v>0</v>
      </c>
      <c r="R143" s="126"/>
      <c r="S143" s="126">
        <v>0</v>
      </c>
      <c r="T143" s="124"/>
      <c r="U143" s="126">
        <v>0</v>
      </c>
      <c r="V143" s="126"/>
      <c r="W143" s="126">
        <v>0</v>
      </c>
      <c r="X143" s="126">
        <v>0</v>
      </c>
      <c r="Y143" s="126">
        <v>0</v>
      </c>
      <c r="Z143" s="124">
        <v>0</v>
      </c>
      <c r="AA143" s="126">
        <v>0</v>
      </c>
      <c r="AB143" s="124">
        <v>0</v>
      </c>
      <c r="AC143" s="126">
        <v>0</v>
      </c>
      <c r="AD143" s="124">
        <v>0</v>
      </c>
      <c r="AE143" s="126">
        <v>2</v>
      </c>
      <c r="AF143" s="124">
        <v>0</v>
      </c>
      <c r="AG143" s="126">
        <v>0</v>
      </c>
      <c r="AH143" s="126">
        <v>0</v>
      </c>
      <c r="AI143" s="126"/>
      <c r="AJ143" s="126"/>
      <c r="AK143" s="106">
        <v>103</v>
      </c>
    </row>
    <row r="144" spans="1:37" s="127" customFormat="1" ht="15.75">
      <c r="A144" s="120">
        <v>142</v>
      </c>
      <c r="B144" s="126" t="s">
        <v>282</v>
      </c>
      <c r="C144" s="129" t="s">
        <v>281</v>
      </c>
      <c r="D144" s="122" t="str">
        <f>"4056010"</f>
        <v>4056010</v>
      </c>
      <c r="E144" s="126" t="s">
        <v>23</v>
      </c>
      <c r="F144" s="126" t="s">
        <v>28</v>
      </c>
      <c r="G144" s="129" t="s">
        <v>284</v>
      </c>
      <c r="H144" s="126" t="s">
        <v>287</v>
      </c>
      <c r="I144" s="126"/>
      <c r="J144" s="126"/>
      <c r="K144" s="126">
        <v>1</v>
      </c>
      <c r="L144" s="124">
        <v>1</v>
      </c>
      <c r="M144" s="126">
        <v>1</v>
      </c>
      <c r="N144" s="126">
        <v>1</v>
      </c>
      <c r="O144" s="126">
        <v>1</v>
      </c>
      <c r="P144" s="126"/>
      <c r="Q144" s="126">
        <v>1</v>
      </c>
      <c r="R144" s="126">
        <v>1</v>
      </c>
      <c r="S144" s="126">
        <v>1</v>
      </c>
      <c r="T144" s="124"/>
      <c r="U144" s="126">
        <v>1</v>
      </c>
      <c r="V144" s="126"/>
      <c r="W144" s="126">
        <v>0</v>
      </c>
      <c r="X144" s="126">
        <v>0</v>
      </c>
      <c r="Y144" s="126">
        <v>0</v>
      </c>
      <c r="Z144" s="124">
        <v>0</v>
      </c>
      <c r="AA144" s="126">
        <v>0</v>
      </c>
      <c r="AB144" s="124">
        <v>0</v>
      </c>
      <c r="AC144" s="126">
        <v>0</v>
      </c>
      <c r="AD144" s="124">
        <v>0</v>
      </c>
      <c r="AE144" s="126">
        <v>3</v>
      </c>
      <c r="AF144" s="124">
        <v>0</v>
      </c>
      <c r="AG144" s="126">
        <v>0</v>
      </c>
      <c r="AH144" s="126">
        <v>0</v>
      </c>
      <c r="AI144" s="126" t="s">
        <v>841</v>
      </c>
      <c r="AJ144" s="126" t="s">
        <v>841</v>
      </c>
      <c r="AK144" s="106">
        <v>25</v>
      </c>
    </row>
    <row r="145" spans="1:37" s="127" customFormat="1" ht="15.75">
      <c r="A145" s="120">
        <v>143</v>
      </c>
      <c r="B145" s="126" t="s">
        <v>282</v>
      </c>
      <c r="C145" s="129" t="s">
        <v>280</v>
      </c>
      <c r="D145" s="122" t="str">
        <f>"4051005"</f>
        <v>4051005</v>
      </c>
      <c r="E145" s="126" t="s">
        <v>23</v>
      </c>
      <c r="F145" s="126" t="s">
        <v>28</v>
      </c>
      <c r="G145" s="129" t="s">
        <v>28</v>
      </c>
      <c r="H145" s="126" t="s">
        <v>28</v>
      </c>
      <c r="I145" s="126">
        <v>2</v>
      </c>
      <c r="J145" s="126">
        <v>1</v>
      </c>
      <c r="K145" s="126">
        <v>1</v>
      </c>
      <c r="L145" s="124">
        <v>1</v>
      </c>
      <c r="M145" s="126">
        <v>0</v>
      </c>
      <c r="N145" s="126">
        <v>0</v>
      </c>
      <c r="O145" s="126">
        <v>0</v>
      </c>
      <c r="P145" s="126"/>
      <c r="Q145" s="126">
        <v>0</v>
      </c>
      <c r="R145" s="126"/>
      <c r="S145" s="126">
        <v>0</v>
      </c>
      <c r="T145" s="124"/>
      <c r="U145" s="126">
        <v>0</v>
      </c>
      <c r="V145" s="126"/>
      <c r="W145" s="126">
        <v>2</v>
      </c>
      <c r="X145" s="126">
        <v>2</v>
      </c>
      <c r="Y145" s="126">
        <v>0</v>
      </c>
      <c r="Z145" s="124">
        <v>0</v>
      </c>
      <c r="AA145" s="126">
        <v>0</v>
      </c>
      <c r="AB145" s="124">
        <v>0</v>
      </c>
      <c r="AC145" s="126">
        <v>1</v>
      </c>
      <c r="AD145" s="124">
        <v>1</v>
      </c>
      <c r="AE145" s="126">
        <v>0</v>
      </c>
      <c r="AF145" s="124">
        <v>0</v>
      </c>
      <c r="AG145" s="126">
        <v>0</v>
      </c>
      <c r="AH145" s="126">
        <v>0</v>
      </c>
      <c r="AI145" s="126"/>
      <c r="AJ145" s="126"/>
      <c r="AK145" s="106">
        <v>103</v>
      </c>
    </row>
    <row r="146" spans="1:37" s="127" customFormat="1" ht="15.75">
      <c r="A146" s="120">
        <v>144</v>
      </c>
      <c r="B146" s="126" t="s">
        <v>282</v>
      </c>
      <c r="C146" s="129" t="s">
        <v>274</v>
      </c>
      <c r="D146" s="122" t="str">
        <f>"4051010"</f>
        <v>4051010</v>
      </c>
      <c r="E146" s="126" t="s">
        <v>23</v>
      </c>
      <c r="F146" s="126" t="s">
        <v>28</v>
      </c>
      <c r="G146" s="129" t="s">
        <v>28</v>
      </c>
      <c r="H146" s="126" t="s">
        <v>28</v>
      </c>
      <c r="I146" s="126"/>
      <c r="J146" s="126">
        <v>2</v>
      </c>
      <c r="K146" s="126">
        <v>1</v>
      </c>
      <c r="L146" s="124">
        <v>1</v>
      </c>
      <c r="M146" s="126">
        <v>1</v>
      </c>
      <c r="N146" s="126">
        <v>1</v>
      </c>
      <c r="O146" s="126">
        <v>0</v>
      </c>
      <c r="P146" s="126"/>
      <c r="Q146" s="126">
        <v>0</v>
      </c>
      <c r="R146" s="126"/>
      <c r="S146" s="126">
        <v>0</v>
      </c>
      <c r="T146" s="124"/>
      <c r="U146" s="126">
        <v>0</v>
      </c>
      <c r="V146" s="126"/>
      <c r="W146" s="126">
        <v>0</v>
      </c>
      <c r="X146" s="126">
        <v>0</v>
      </c>
      <c r="Y146" s="126">
        <v>0</v>
      </c>
      <c r="Z146" s="124">
        <v>0</v>
      </c>
      <c r="AA146" s="126">
        <v>0</v>
      </c>
      <c r="AB146" s="124">
        <v>0</v>
      </c>
      <c r="AC146" s="126">
        <v>0</v>
      </c>
      <c r="AD146" s="124">
        <v>0</v>
      </c>
      <c r="AE146" s="126">
        <v>0</v>
      </c>
      <c r="AF146" s="124">
        <v>0</v>
      </c>
      <c r="AG146" s="126">
        <v>0</v>
      </c>
      <c r="AH146" s="126">
        <v>0</v>
      </c>
      <c r="AI146" s="126" t="s">
        <v>841</v>
      </c>
      <c r="AJ146" s="126" t="s">
        <v>841</v>
      </c>
      <c r="AK146" s="106">
        <v>253</v>
      </c>
    </row>
    <row r="147" spans="1:37" s="127" customFormat="1" ht="15.75">
      <c r="A147" s="120">
        <v>145</v>
      </c>
      <c r="B147" s="126" t="s">
        <v>282</v>
      </c>
      <c r="C147" s="129" t="s">
        <v>276</v>
      </c>
      <c r="D147" s="122" t="str">
        <f>"4051020"</f>
        <v>4051020</v>
      </c>
      <c r="E147" s="126" t="s">
        <v>23</v>
      </c>
      <c r="F147" s="126" t="s">
        <v>28</v>
      </c>
      <c r="G147" s="129" t="s">
        <v>28</v>
      </c>
      <c r="H147" s="126" t="s">
        <v>28</v>
      </c>
      <c r="I147" s="126"/>
      <c r="J147" s="126">
        <v>2</v>
      </c>
      <c r="K147" s="126">
        <v>1</v>
      </c>
      <c r="L147" s="124">
        <v>1</v>
      </c>
      <c r="M147" s="126">
        <v>0</v>
      </c>
      <c r="N147" s="126">
        <v>0</v>
      </c>
      <c r="O147" s="126">
        <v>0</v>
      </c>
      <c r="P147" s="126"/>
      <c r="Q147" s="126">
        <v>1</v>
      </c>
      <c r="R147" s="126">
        <v>1</v>
      </c>
      <c r="S147" s="126">
        <v>0</v>
      </c>
      <c r="T147" s="124"/>
      <c r="U147" s="126">
        <v>0</v>
      </c>
      <c r="V147" s="126"/>
      <c r="W147" s="126">
        <v>0</v>
      </c>
      <c r="X147" s="126">
        <v>0</v>
      </c>
      <c r="Y147" s="126"/>
      <c r="Z147" s="124">
        <v>0</v>
      </c>
      <c r="AA147" s="126">
        <v>0</v>
      </c>
      <c r="AB147" s="124">
        <v>0</v>
      </c>
      <c r="AC147" s="126">
        <v>0</v>
      </c>
      <c r="AD147" s="124">
        <v>0</v>
      </c>
      <c r="AE147" s="126">
        <v>3</v>
      </c>
      <c r="AF147" s="124">
        <v>0</v>
      </c>
      <c r="AG147" s="126">
        <v>0</v>
      </c>
      <c r="AH147" s="126">
        <v>0</v>
      </c>
      <c r="AI147" s="126" t="s">
        <v>841</v>
      </c>
      <c r="AJ147" s="126" t="s">
        <v>841</v>
      </c>
      <c r="AK147" s="106">
        <v>224</v>
      </c>
    </row>
    <row r="148" spans="1:37" s="127" customFormat="1" ht="15.75">
      <c r="A148" s="120">
        <v>146</v>
      </c>
      <c r="B148" s="126" t="s">
        <v>282</v>
      </c>
      <c r="C148" s="129" t="s">
        <v>278</v>
      </c>
      <c r="D148" s="122" t="str">
        <f>"4055010"</f>
        <v>4055010</v>
      </c>
      <c r="E148" s="126" t="s">
        <v>23</v>
      </c>
      <c r="F148" s="126" t="s">
        <v>28</v>
      </c>
      <c r="G148" s="129" t="s">
        <v>28</v>
      </c>
      <c r="H148" s="126" t="s">
        <v>288</v>
      </c>
      <c r="I148" s="126"/>
      <c r="J148" s="126"/>
      <c r="K148" s="126">
        <v>1</v>
      </c>
      <c r="L148" s="124">
        <v>1</v>
      </c>
      <c r="M148" s="126">
        <v>1</v>
      </c>
      <c r="N148" s="126">
        <v>1</v>
      </c>
      <c r="O148" s="126">
        <v>3</v>
      </c>
      <c r="P148" s="126"/>
      <c r="Q148" s="126">
        <v>0</v>
      </c>
      <c r="R148" s="126"/>
      <c r="S148" s="126">
        <v>1</v>
      </c>
      <c r="T148" s="124"/>
      <c r="U148" s="126">
        <v>1</v>
      </c>
      <c r="V148" s="126"/>
      <c r="W148" s="126">
        <v>4</v>
      </c>
      <c r="X148" s="126">
        <v>4</v>
      </c>
      <c r="Y148" s="126">
        <v>0</v>
      </c>
      <c r="Z148" s="124">
        <v>0</v>
      </c>
      <c r="AA148" s="126">
        <v>0</v>
      </c>
      <c r="AB148" s="124">
        <v>0</v>
      </c>
      <c r="AC148" s="126">
        <v>0</v>
      </c>
      <c r="AD148" s="124">
        <v>0</v>
      </c>
      <c r="AE148" s="126">
        <v>2</v>
      </c>
      <c r="AF148" s="124">
        <v>0</v>
      </c>
      <c r="AG148" s="126">
        <v>0</v>
      </c>
      <c r="AH148" s="126">
        <v>0</v>
      </c>
      <c r="AI148" s="126" t="s">
        <v>841</v>
      </c>
      <c r="AJ148" s="126" t="s">
        <v>841</v>
      </c>
      <c r="AK148" s="106">
        <v>58</v>
      </c>
    </row>
    <row r="149" spans="1:37" s="127" customFormat="1" ht="15.75">
      <c r="A149" s="120">
        <v>147</v>
      </c>
      <c r="B149" s="126" t="s">
        <v>784</v>
      </c>
      <c r="C149" s="129" t="s">
        <v>683</v>
      </c>
      <c r="D149" s="122" t="str">
        <f>"9040004"</f>
        <v>9040004</v>
      </c>
      <c r="E149" s="129" t="s">
        <v>467</v>
      </c>
      <c r="F149" s="126" t="s">
        <v>25</v>
      </c>
      <c r="G149" s="129" t="s">
        <v>785</v>
      </c>
      <c r="H149" s="126" t="s">
        <v>25</v>
      </c>
      <c r="I149" s="126">
        <v>6</v>
      </c>
      <c r="J149" s="126">
        <v>2</v>
      </c>
      <c r="K149" s="126">
        <v>6</v>
      </c>
      <c r="L149" s="124">
        <v>2</v>
      </c>
      <c r="M149" s="126">
        <v>2</v>
      </c>
      <c r="N149" s="126">
        <v>1</v>
      </c>
      <c r="O149" s="126">
        <v>2</v>
      </c>
      <c r="P149" s="126"/>
      <c r="Q149" s="126">
        <v>2</v>
      </c>
      <c r="R149" s="126">
        <v>1</v>
      </c>
      <c r="S149" s="126">
        <v>2</v>
      </c>
      <c r="T149" s="124"/>
      <c r="U149" s="126">
        <v>2</v>
      </c>
      <c r="V149" s="126"/>
      <c r="W149" s="126">
        <v>4</v>
      </c>
      <c r="X149" s="126">
        <v>4</v>
      </c>
      <c r="Y149" s="126">
        <v>1</v>
      </c>
      <c r="Z149" s="124">
        <v>1</v>
      </c>
      <c r="AA149" s="126" t="s">
        <v>897</v>
      </c>
      <c r="AB149" s="124">
        <v>1</v>
      </c>
      <c r="AC149" s="126" t="s">
        <v>898</v>
      </c>
      <c r="AD149" s="124">
        <v>1</v>
      </c>
      <c r="AE149" s="126">
        <v>4</v>
      </c>
      <c r="AF149" s="124">
        <v>0</v>
      </c>
      <c r="AG149" s="126">
        <v>0</v>
      </c>
      <c r="AH149" s="126">
        <v>0</v>
      </c>
      <c r="AI149" s="126"/>
      <c r="AJ149" s="126"/>
      <c r="AK149" s="103">
        <v>201</v>
      </c>
    </row>
    <row r="150" spans="1:37" s="127" customFormat="1" ht="15.75">
      <c r="A150" s="120">
        <v>148</v>
      </c>
      <c r="B150" s="126" t="s">
        <v>784</v>
      </c>
      <c r="C150" s="129" t="s">
        <v>687</v>
      </c>
      <c r="D150" s="122" t="str">
        <f>"9040008"</f>
        <v>9040008</v>
      </c>
      <c r="E150" s="129" t="s">
        <v>467</v>
      </c>
      <c r="F150" s="126" t="s">
        <v>25</v>
      </c>
      <c r="G150" s="129" t="s">
        <v>785</v>
      </c>
      <c r="H150" s="126" t="s">
        <v>25</v>
      </c>
      <c r="I150" s="126"/>
      <c r="J150" s="126"/>
      <c r="K150" s="126"/>
      <c r="L150" s="124"/>
      <c r="M150" s="126"/>
      <c r="N150" s="126"/>
      <c r="O150" s="126"/>
      <c r="P150" s="126"/>
      <c r="Q150" s="126"/>
      <c r="R150" s="126"/>
      <c r="S150" s="126"/>
      <c r="T150" s="124"/>
      <c r="U150" s="126"/>
      <c r="V150" s="126"/>
      <c r="W150" s="126"/>
      <c r="X150" s="126"/>
      <c r="Y150" s="126"/>
      <c r="Z150" s="124">
        <v>0</v>
      </c>
      <c r="AA150" s="126"/>
      <c r="AB150" s="124">
        <v>0</v>
      </c>
      <c r="AC150" s="126"/>
      <c r="AD150" s="124">
        <v>0</v>
      </c>
      <c r="AE150" s="126"/>
      <c r="AF150" s="124">
        <v>0</v>
      </c>
      <c r="AG150" s="126"/>
      <c r="AH150" s="126"/>
      <c r="AI150" s="126"/>
      <c r="AJ150" s="126"/>
      <c r="AK150" s="103">
        <v>166</v>
      </c>
    </row>
    <row r="151" spans="1:37" s="127" customFormat="1" ht="15.75">
      <c r="A151" s="120">
        <v>149</v>
      </c>
      <c r="B151" s="126" t="s">
        <v>784</v>
      </c>
      <c r="C151" s="129" t="s">
        <v>710</v>
      </c>
      <c r="D151" s="122" t="str">
        <f>"9040050"</f>
        <v>9040050</v>
      </c>
      <c r="E151" s="129" t="s">
        <v>467</v>
      </c>
      <c r="F151" s="126" t="s">
        <v>25</v>
      </c>
      <c r="G151" s="129" t="s">
        <v>785</v>
      </c>
      <c r="H151" s="126" t="s">
        <v>804</v>
      </c>
      <c r="I151" s="126">
        <v>0</v>
      </c>
      <c r="J151" s="126">
        <v>0</v>
      </c>
      <c r="K151" s="126">
        <v>0</v>
      </c>
      <c r="L151" s="124"/>
      <c r="M151" s="126">
        <v>1</v>
      </c>
      <c r="N151" s="126">
        <v>1</v>
      </c>
      <c r="O151" s="126">
        <v>0</v>
      </c>
      <c r="P151" s="126"/>
      <c r="Q151" s="126">
        <v>0</v>
      </c>
      <c r="R151" s="126"/>
      <c r="S151" s="126">
        <v>0</v>
      </c>
      <c r="T151" s="124"/>
      <c r="U151" s="126">
        <v>0</v>
      </c>
      <c r="V151" s="126"/>
      <c r="W151" s="126">
        <v>0</v>
      </c>
      <c r="X151" s="126">
        <v>0</v>
      </c>
      <c r="Y151" s="126">
        <v>0</v>
      </c>
      <c r="Z151" s="124">
        <v>0</v>
      </c>
      <c r="AA151" s="126">
        <v>0</v>
      </c>
      <c r="AB151" s="124">
        <v>0</v>
      </c>
      <c r="AC151" s="126">
        <v>0</v>
      </c>
      <c r="AD151" s="124">
        <v>0</v>
      </c>
      <c r="AE151" s="126">
        <v>0</v>
      </c>
      <c r="AF151" s="124">
        <v>0</v>
      </c>
      <c r="AG151" s="126">
        <v>0</v>
      </c>
      <c r="AH151" s="126">
        <v>0</v>
      </c>
      <c r="AI151" s="126"/>
      <c r="AJ151" s="126"/>
      <c r="AK151" s="103">
        <v>5</v>
      </c>
    </row>
    <row r="152" spans="1:37" s="127" customFormat="1" ht="15.75">
      <c r="A152" s="120">
        <v>150</v>
      </c>
      <c r="B152" s="126" t="s">
        <v>784</v>
      </c>
      <c r="C152" s="129" t="s">
        <v>716</v>
      </c>
      <c r="D152" s="122" t="str">
        <f>"9040060"</f>
        <v>9040060</v>
      </c>
      <c r="E152" s="129" t="s">
        <v>467</v>
      </c>
      <c r="F152" s="126" t="s">
        <v>25</v>
      </c>
      <c r="G152" s="129" t="s">
        <v>785</v>
      </c>
      <c r="H152" s="126" t="s">
        <v>809</v>
      </c>
      <c r="I152" s="126">
        <v>0</v>
      </c>
      <c r="J152" s="126">
        <v>0</v>
      </c>
      <c r="K152" s="126">
        <v>1</v>
      </c>
      <c r="L152" s="124">
        <v>1</v>
      </c>
      <c r="M152" s="126">
        <v>2</v>
      </c>
      <c r="N152" s="126">
        <v>1</v>
      </c>
      <c r="O152" s="126">
        <v>1</v>
      </c>
      <c r="P152" s="126"/>
      <c r="Q152" s="126">
        <v>0</v>
      </c>
      <c r="R152" s="126"/>
      <c r="S152" s="126">
        <v>0</v>
      </c>
      <c r="T152" s="124"/>
      <c r="U152" s="126">
        <v>1</v>
      </c>
      <c r="V152" s="126">
        <v>1</v>
      </c>
      <c r="W152" s="126">
        <v>0</v>
      </c>
      <c r="X152" s="126">
        <v>0</v>
      </c>
      <c r="Y152" s="126">
        <v>0</v>
      </c>
      <c r="Z152" s="124">
        <v>0</v>
      </c>
      <c r="AA152" s="126">
        <v>0</v>
      </c>
      <c r="AB152" s="124">
        <v>0</v>
      </c>
      <c r="AC152" s="126">
        <v>0</v>
      </c>
      <c r="AD152" s="124">
        <v>0</v>
      </c>
      <c r="AE152" s="126">
        <v>3</v>
      </c>
      <c r="AF152" s="124">
        <v>0</v>
      </c>
      <c r="AG152" s="126">
        <v>0</v>
      </c>
      <c r="AH152" s="126">
        <v>0</v>
      </c>
      <c r="AI152" s="126" t="s">
        <v>841</v>
      </c>
      <c r="AJ152" s="126" t="s">
        <v>841</v>
      </c>
      <c r="AK152" s="103">
        <v>134</v>
      </c>
    </row>
    <row r="153" spans="1:37" s="127" customFormat="1" ht="15.75">
      <c r="A153" s="120">
        <v>151</v>
      </c>
      <c r="B153" s="126" t="s">
        <v>784</v>
      </c>
      <c r="C153" s="129" t="s">
        <v>681</v>
      </c>
      <c r="D153" s="122" t="str">
        <f>"9040101"</f>
        <v>9040101</v>
      </c>
      <c r="E153" s="129" t="s">
        <v>467</v>
      </c>
      <c r="F153" s="126" t="s">
        <v>25</v>
      </c>
      <c r="G153" s="129" t="s">
        <v>785</v>
      </c>
      <c r="H153" s="126" t="s">
        <v>25</v>
      </c>
      <c r="I153" s="126"/>
      <c r="J153" s="126">
        <v>3</v>
      </c>
      <c r="K153" s="126"/>
      <c r="L153" s="124"/>
      <c r="M153" s="126"/>
      <c r="N153" s="126"/>
      <c r="O153" s="126"/>
      <c r="P153" s="126"/>
      <c r="Q153" s="126"/>
      <c r="R153" s="126"/>
      <c r="S153" s="126"/>
      <c r="T153" s="124"/>
      <c r="U153" s="126"/>
      <c r="V153" s="126"/>
      <c r="W153" s="126"/>
      <c r="X153" s="126"/>
      <c r="Y153" s="126"/>
      <c r="Z153" s="124">
        <v>0</v>
      </c>
      <c r="AA153" s="126"/>
      <c r="AB153" s="124">
        <v>0</v>
      </c>
      <c r="AC153" s="126"/>
      <c r="AD153" s="124">
        <v>0</v>
      </c>
      <c r="AE153" s="126"/>
      <c r="AF153" s="124">
        <v>0</v>
      </c>
      <c r="AG153" s="126"/>
      <c r="AH153" s="126"/>
      <c r="AI153" s="126"/>
      <c r="AJ153" s="126"/>
      <c r="AK153" s="103">
        <v>198</v>
      </c>
    </row>
    <row r="154" spans="1:37" s="127" customFormat="1" ht="15.75">
      <c r="A154" s="120">
        <v>152</v>
      </c>
      <c r="B154" s="126" t="s">
        <v>784</v>
      </c>
      <c r="C154" s="129" t="s">
        <v>686</v>
      </c>
      <c r="D154" s="122" t="str">
        <f>"9040105"</f>
        <v>9040105</v>
      </c>
      <c r="E154" s="129" t="s">
        <v>467</v>
      </c>
      <c r="F154" s="126" t="s">
        <v>25</v>
      </c>
      <c r="G154" s="129" t="s">
        <v>785</v>
      </c>
      <c r="H154" s="126" t="s">
        <v>25</v>
      </c>
      <c r="I154" s="126">
        <v>10</v>
      </c>
      <c r="J154" s="126">
        <v>2</v>
      </c>
      <c r="K154" s="126">
        <v>5</v>
      </c>
      <c r="L154" s="124">
        <v>1</v>
      </c>
      <c r="M154" s="126">
        <v>1</v>
      </c>
      <c r="N154" s="126">
        <v>1</v>
      </c>
      <c r="O154" s="126">
        <v>1</v>
      </c>
      <c r="P154" s="126"/>
      <c r="Q154" s="126">
        <v>1</v>
      </c>
      <c r="R154" s="126">
        <v>1</v>
      </c>
      <c r="S154" s="126">
        <v>1</v>
      </c>
      <c r="T154" s="124"/>
      <c r="U154" s="126">
        <v>1</v>
      </c>
      <c r="V154" s="126"/>
      <c r="W154" s="126">
        <v>1</v>
      </c>
      <c r="X154" s="126">
        <v>1</v>
      </c>
      <c r="Y154" s="126">
        <v>1</v>
      </c>
      <c r="Z154" s="124">
        <v>1</v>
      </c>
      <c r="AA154" s="126">
        <v>0</v>
      </c>
      <c r="AB154" s="124">
        <v>0</v>
      </c>
      <c r="AC154" s="126">
        <v>0</v>
      </c>
      <c r="AD154" s="124">
        <v>0</v>
      </c>
      <c r="AE154" s="126">
        <v>4</v>
      </c>
      <c r="AF154" s="124">
        <v>0</v>
      </c>
      <c r="AG154" s="126">
        <v>0</v>
      </c>
      <c r="AH154" s="126">
        <v>0</v>
      </c>
      <c r="AI154" s="126"/>
      <c r="AJ154" s="126"/>
      <c r="AK154" s="103">
        <v>98</v>
      </c>
    </row>
    <row r="155" spans="1:37" s="127" customFormat="1" ht="15.75">
      <c r="A155" s="120">
        <v>153</v>
      </c>
      <c r="B155" s="126" t="s">
        <v>784</v>
      </c>
      <c r="C155" s="129" t="s">
        <v>688</v>
      </c>
      <c r="D155" s="122" t="str">
        <f>"9040106"</f>
        <v>9040106</v>
      </c>
      <c r="E155" s="129" t="s">
        <v>467</v>
      </c>
      <c r="F155" s="126" t="s">
        <v>25</v>
      </c>
      <c r="G155" s="129" t="s">
        <v>785</v>
      </c>
      <c r="H155" s="126" t="s">
        <v>25</v>
      </c>
      <c r="I155" s="126">
        <v>3</v>
      </c>
      <c r="J155" s="126">
        <v>2</v>
      </c>
      <c r="K155" s="126">
        <v>3</v>
      </c>
      <c r="L155" s="124">
        <v>1</v>
      </c>
      <c r="M155" s="126">
        <v>2</v>
      </c>
      <c r="N155" s="126">
        <v>1</v>
      </c>
      <c r="O155" s="126">
        <v>2</v>
      </c>
      <c r="P155" s="126"/>
      <c r="Q155" s="126">
        <v>1</v>
      </c>
      <c r="R155" s="126">
        <v>1</v>
      </c>
      <c r="S155" s="126">
        <v>1</v>
      </c>
      <c r="T155" s="124"/>
      <c r="U155" s="126">
        <v>1</v>
      </c>
      <c r="V155" s="126"/>
      <c r="W155" s="126">
        <v>2</v>
      </c>
      <c r="X155" s="126">
        <v>2</v>
      </c>
      <c r="Y155" s="126">
        <v>1</v>
      </c>
      <c r="Z155" s="124">
        <v>1</v>
      </c>
      <c r="AA155" s="126">
        <v>0</v>
      </c>
      <c r="AB155" s="124">
        <v>0</v>
      </c>
      <c r="AC155" s="126">
        <v>0</v>
      </c>
      <c r="AD155" s="124">
        <v>0</v>
      </c>
      <c r="AE155" s="126">
        <v>2</v>
      </c>
      <c r="AF155" s="124">
        <v>0</v>
      </c>
      <c r="AG155" s="126">
        <v>0</v>
      </c>
      <c r="AH155" s="126">
        <v>0</v>
      </c>
      <c r="AI155" s="126"/>
      <c r="AJ155" s="126"/>
      <c r="AK155" s="103">
        <v>259</v>
      </c>
    </row>
    <row r="156" spans="1:37" s="127" customFormat="1" ht="15.75">
      <c r="A156" s="120">
        <v>154</v>
      </c>
      <c r="B156" s="126" t="s">
        <v>784</v>
      </c>
      <c r="C156" s="129" t="s">
        <v>690</v>
      </c>
      <c r="D156" s="122" t="str">
        <f>"9040108"</f>
        <v>9040108</v>
      </c>
      <c r="E156" s="129" t="s">
        <v>467</v>
      </c>
      <c r="F156" s="126" t="s">
        <v>25</v>
      </c>
      <c r="G156" s="129" t="s">
        <v>785</v>
      </c>
      <c r="H156" s="126" t="s">
        <v>25</v>
      </c>
      <c r="I156" s="126"/>
      <c r="J156" s="126"/>
      <c r="K156" s="126"/>
      <c r="L156" s="124"/>
      <c r="M156" s="126"/>
      <c r="N156" s="126"/>
      <c r="O156" s="126"/>
      <c r="P156" s="126"/>
      <c r="Q156" s="126"/>
      <c r="R156" s="126"/>
      <c r="S156" s="126"/>
      <c r="T156" s="124"/>
      <c r="U156" s="126"/>
      <c r="V156" s="126"/>
      <c r="W156" s="126"/>
      <c r="X156" s="126"/>
      <c r="Y156" s="126"/>
      <c r="Z156" s="124">
        <v>0</v>
      </c>
      <c r="AA156" s="126"/>
      <c r="AB156" s="124">
        <v>0</v>
      </c>
      <c r="AC156" s="126"/>
      <c r="AD156" s="124">
        <v>0</v>
      </c>
      <c r="AE156" s="126"/>
      <c r="AF156" s="124">
        <v>0</v>
      </c>
      <c r="AG156" s="126"/>
      <c r="AH156" s="126"/>
      <c r="AI156" s="126"/>
      <c r="AJ156" s="126"/>
      <c r="AK156" s="103">
        <v>96</v>
      </c>
    </row>
    <row r="157" spans="1:37" s="127" customFormat="1" ht="15.75">
      <c r="A157" s="120">
        <v>155</v>
      </c>
      <c r="B157" s="126" t="s">
        <v>784</v>
      </c>
      <c r="C157" s="129" t="s">
        <v>691</v>
      </c>
      <c r="D157" s="122" t="str">
        <f>"9040111"</f>
        <v>9040111</v>
      </c>
      <c r="E157" s="129" t="s">
        <v>467</v>
      </c>
      <c r="F157" s="126" t="s">
        <v>25</v>
      </c>
      <c r="G157" s="129" t="s">
        <v>785</v>
      </c>
      <c r="H157" s="126" t="s">
        <v>791</v>
      </c>
      <c r="I157" s="126"/>
      <c r="J157" s="126"/>
      <c r="K157" s="126">
        <v>1</v>
      </c>
      <c r="L157" s="124">
        <v>1</v>
      </c>
      <c r="M157" s="126">
        <v>4</v>
      </c>
      <c r="N157" s="126">
        <v>1</v>
      </c>
      <c r="O157" s="126">
        <v>2</v>
      </c>
      <c r="P157" s="126"/>
      <c r="Q157" s="126">
        <v>1</v>
      </c>
      <c r="R157" s="126">
        <v>1</v>
      </c>
      <c r="S157" s="126">
        <v>0</v>
      </c>
      <c r="T157" s="124"/>
      <c r="U157" s="126">
        <v>0</v>
      </c>
      <c r="V157" s="126"/>
      <c r="W157" s="126">
        <v>0</v>
      </c>
      <c r="X157" s="126">
        <v>0</v>
      </c>
      <c r="Y157" s="126">
        <v>0</v>
      </c>
      <c r="Z157" s="124">
        <v>0</v>
      </c>
      <c r="AA157" s="126">
        <v>0</v>
      </c>
      <c r="AB157" s="124">
        <v>0</v>
      </c>
      <c r="AC157" s="126">
        <v>0</v>
      </c>
      <c r="AD157" s="124">
        <v>0</v>
      </c>
      <c r="AE157" s="126">
        <v>2</v>
      </c>
      <c r="AF157" s="124">
        <v>0</v>
      </c>
      <c r="AG157" s="126">
        <v>0</v>
      </c>
      <c r="AH157" s="126">
        <v>0</v>
      </c>
      <c r="AI157" s="126" t="s">
        <v>841</v>
      </c>
      <c r="AJ157" s="126" t="s">
        <v>841</v>
      </c>
      <c r="AK157" s="103">
        <v>54</v>
      </c>
    </row>
    <row r="158" spans="1:37" s="127" customFormat="1" ht="15.75">
      <c r="A158" s="120">
        <v>156</v>
      </c>
      <c r="B158" s="126" t="s">
        <v>784</v>
      </c>
      <c r="C158" s="129" t="s">
        <v>697</v>
      </c>
      <c r="D158" s="122" t="str">
        <f>"9040120"</f>
        <v>9040120</v>
      </c>
      <c r="E158" s="129" t="s">
        <v>467</v>
      </c>
      <c r="F158" s="126" t="s">
        <v>25</v>
      </c>
      <c r="G158" s="129" t="s">
        <v>785</v>
      </c>
      <c r="H158" s="126" t="s">
        <v>797</v>
      </c>
      <c r="I158" s="126">
        <v>1</v>
      </c>
      <c r="J158" s="126">
        <v>1</v>
      </c>
      <c r="K158" s="126">
        <v>1</v>
      </c>
      <c r="L158" s="124">
        <v>1</v>
      </c>
      <c r="M158" s="126">
        <v>1</v>
      </c>
      <c r="N158" s="126">
        <v>1</v>
      </c>
      <c r="O158" s="126">
        <v>1</v>
      </c>
      <c r="P158" s="126"/>
      <c r="Q158" s="126">
        <v>1</v>
      </c>
      <c r="R158" s="126">
        <v>1</v>
      </c>
      <c r="S158" s="126">
        <v>1</v>
      </c>
      <c r="T158" s="124"/>
      <c r="U158" s="126">
        <v>1</v>
      </c>
      <c r="V158" s="126"/>
      <c r="W158" s="126">
        <v>1</v>
      </c>
      <c r="X158" s="126">
        <v>1</v>
      </c>
      <c r="Y158" s="126">
        <v>0</v>
      </c>
      <c r="Z158" s="124">
        <v>0</v>
      </c>
      <c r="AA158" s="126">
        <v>0</v>
      </c>
      <c r="AB158" s="124">
        <v>0</v>
      </c>
      <c r="AC158" s="126">
        <v>0</v>
      </c>
      <c r="AD158" s="124">
        <v>0</v>
      </c>
      <c r="AE158" s="126">
        <v>1</v>
      </c>
      <c r="AF158" s="124">
        <v>0</v>
      </c>
      <c r="AG158" s="126">
        <v>0</v>
      </c>
      <c r="AH158" s="126">
        <v>0</v>
      </c>
      <c r="AI158" s="126"/>
      <c r="AJ158" s="126"/>
      <c r="AK158" s="103">
        <v>18</v>
      </c>
    </row>
    <row r="159" spans="1:37" s="127" customFormat="1" ht="15.75">
      <c r="A159" s="120">
        <v>157</v>
      </c>
      <c r="B159" s="126" t="s">
        <v>784</v>
      </c>
      <c r="C159" s="129" t="s">
        <v>698</v>
      </c>
      <c r="D159" s="122" t="str">
        <f>"9040122"</f>
        <v>9040122</v>
      </c>
      <c r="E159" s="129" t="s">
        <v>467</v>
      </c>
      <c r="F159" s="126" t="s">
        <v>25</v>
      </c>
      <c r="G159" s="129" t="s">
        <v>785</v>
      </c>
      <c r="H159" s="126" t="s">
        <v>805</v>
      </c>
      <c r="I159" s="126"/>
      <c r="J159" s="126"/>
      <c r="K159" s="126"/>
      <c r="L159" s="124"/>
      <c r="M159" s="126"/>
      <c r="N159" s="126"/>
      <c r="O159" s="126"/>
      <c r="P159" s="126"/>
      <c r="Q159" s="126"/>
      <c r="R159" s="126"/>
      <c r="S159" s="126"/>
      <c r="T159" s="124"/>
      <c r="U159" s="126"/>
      <c r="V159" s="126"/>
      <c r="W159" s="126"/>
      <c r="X159" s="126"/>
      <c r="Y159" s="126"/>
      <c r="Z159" s="124">
        <v>0</v>
      </c>
      <c r="AA159" s="126"/>
      <c r="AB159" s="124">
        <v>0</v>
      </c>
      <c r="AC159" s="126"/>
      <c r="AD159" s="124">
        <v>0</v>
      </c>
      <c r="AE159" s="126"/>
      <c r="AF159" s="124">
        <v>0</v>
      </c>
      <c r="AG159" s="126"/>
      <c r="AH159" s="126"/>
      <c r="AI159" s="126"/>
      <c r="AJ159" s="126"/>
      <c r="AK159" s="103"/>
    </row>
    <row r="160" spans="1:37" s="127" customFormat="1" ht="15.75">
      <c r="A160" s="120">
        <v>158</v>
      </c>
      <c r="B160" s="126" t="s">
        <v>784</v>
      </c>
      <c r="C160" s="129" t="s">
        <v>700</v>
      </c>
      <c r="D160" s="122" t="str">
        <f>"9040124"</f>
        <v>9040124</v>
      </c>
      <c r="E160" s="129" t="s">
        <v>467</v>
      </c>
      <c r="F160" s="126" t="s">
        <v>25</v>
      </c>
      <c r="G160" s="129" t="s">
        <v>785</v>
      </c>
      <c r="H160" s="126" t="s">
        <v>52</v>
      </c>
      <c r="I160" s="126">
        <v>10</v>
      </c>
      <c r="J160" s="126">
        <v>2</v>
      </c>
      <c r="K160" s="126">
        <v>6</v>
      </c>
      <c r="L160" s="124">
        <v>1</v>
      </c>
      <c r="M160" s="126">
        <v>4</v>
      </c>
      <c r="N160" s="126">
        <v>1</v>
      </c>
      <c r="O160" s="126">
        <v>4</v>
      </c>
      <c r="P160" s="126"/>
      <c r="Q160" s="126">
        <v>1</v>
      </c>
      <c r="R160" s="126">
        <v>1</v>
      </c>
      <c r="S160" s="126">
        <v>1</v>
      </c>
      <c r="T160" s="124"/>
      <c r="U160" s="126">
        <v>1</v>
      </c>
      <c r="V160" s="126"/>
      <c r="W160" s="126">
        <v>1</v>
      </c>
      <c r="X160" s="126">
        <v>1</v>
      </c>
      <c r="Y160" s="126">
        <v>1</v>
      </c>
      <c r="Z160" s="124">
        <v>1</v>
      </c>
      <c r="AA160" s="126">
        <v>0</v>
      </c>
      <c r="AB160" s="124">
        <v>0</v>
      </c>
      <c r="AC160" s="126">
        <v>0</v>
      </c>
      <c r="AD160" s="124">
        <v>0</v>
      </c>
      <c r="AE160" s="126">
        <v>4</v>
      </c>
      <c r="AF160" s="124">
        <v>0</v>
      </c>
      <c r="AG160" s="126">
        <v>0</v>
      </c>
      <c r="AH160" s="126">
        <v>0</v>
      </c>
      <c r="AI160" s="126"/>
      <c r="AJ160" s="126"/>
      <c r="AK160" s="103">
        <v>90</v>
      </c>
    </row>
    <row r="161" spans="1:37" s="127" customFormat="1" ht="15.75">
      <c r="A161" s="120">
        <v>159</v>
      </c>
      <c r="B161" s="126" t="s">
        <v>784</v>
      </c>
      <c r="C161" s="129" t="s">
        <v>702</v>
      </c>
      <c r="D161" s="122" t="str">
        <f>"9040129"</f>
        <v>9040129</v>
      </c>
      <c r="E161" s="129" t="s">
        <v>467</v>
      </c>
      <c r="F161" s="126" t="s">
        <v>25</v>
      </c>
      <c r="G161" s="129" t="s">
        <v>785</v>
      </c>
      <c r="H161" s="126" t="s">
        <v>798</v>
      </c>
      <c r="I161" s="126">
        <v>0</v>
      </c>
      <c r="J161" s="126">
        <v>0</v>
      </c>
      <c r="K161" s="126">
        <v>1</v>
      </c>
      <c r="L161" s="124">
        <v>1</v>
      </c>
      <c r="M161" s="126">
        <v>1</v>
      </c>
      <c r="N161" s="126">
        <v>1</v>
      </c>
      <c r="O161" s="126">
        <v>2</v>
      </c>
      <c r="P161" s="126"/>
      <c r="Q161" s="126">
        <v>0</v>
      </c>
      <c r="R161" s="126"/>
      <c r="S161" s="126">
        <v>1</v>
      </c>
      <c r="T161" s="124"/>
      <c r="U161" s="126">
        <v>0</v>
      </c>
      <c r="V161" s="126"/>
      <c r="W161" s="126">
        <v>1</v>
      </c>
      <c r="X161" s="126">
        <v>1</v>
      </c>
      <c r="Y161" s="126">
        <v>0</v>
      </c>
      <c r="Z161" s="124">
        <v>0</v>
      </c>
      <c r="AA161" s="126">
        <v>0</v>
      </c>
      <c r="AB161" s="124">
        <v>0</v>
      </c>
      <c r="AC161" s="126">
        <v>0</v>
      </c>
      <c r="AD161" s="124">
        <v>0</v>
      </c>
      <c r="AE161" s="126">
        <v>0</v>
      </c>
      <c r="AF161" s="124">
        <v>0</v>
      </c>
      <c r="AG161" s="126">
        <v>0</v>
      </c>
      <c r="AH161" s="126">
        <v>0</v>
      </c>
      <c r="AI161" s="126" t="s">
        <v>834</v>
      </c>
      <c r="AJ161" s="126" t="s">
        <v>834</v>
      </c>
      <c r="AK161" s="103">
        <v>15</v>
      </c>
    </row>
    <row r="162" spans="1:37" s="127" customFormat="1" ht="15.75">
      <c r="A162" s="120">
        <v>160</v>
      </c>
      <c r="B162" s="126" t="s">
        <v>784</v>
      </c>
      <c r="C162" s="129" t="s">
        <v>704</v>
      </c>
      <c r="D162" s="122" t="str">
        <f>"9040131"</f>
        <v>9040131</v>
      </c>
      <c r="E162" s="129" t="s">
        <v>467</v>
      </c>
      <c r="F162" s="126" t="s">
        <v>25</v>
      </c>
      <c r="G162" s="129" t="s">
        <v>785</v>
      </c>
      <c r="H162" s="126" t="s">
        <v>799</v>
      </c>
      <c r="I162" s="126">
        <v>2</v>
      </c>
      <c r="J162" s="126">
        <v>1</v>
      </c>
      <c r="K162" s="126">
        <v>2</v>
      </c>
      <c r="L162" s="124">
        <v>1</v>
      </c>
      <c r="M162" s="126">
        <v>1</v>
      </c>
      <c r="N162" s="126">
        <v>1</v>
      </c>
      <c r="O162" s="126">
        <v>1</v>
      </c>
      <c r="P162" s="126"/>
      <c r="Q162" s="126">
        <v>1</v>
      </c>
      <c r="R162" s="126">
        <v>1</v>
      </c>
      <c r="S162" s="126">
        <v>0</v>
      </c>
      <c r="T162" s="124"/>
      <c r="U162" s="126">
        <v>1</v>
      </c>
      <c r="V162" s="126"/>
      <c r="W162" s="126">
        <v>1</v>
      </c>
      <c r="X162" s="126">
        <v>1</v>
      </c>
      <c r="Y162" s="126">
        <v>1</v>
      </c>
      <c r="Z162" s="124">
        <v>1</v>
      </c>
      <c r="AA162" s="126">
        <v>0</v>
      </c>
      <c r="AB162" s="124">
        <v>0</v>
      </c>
      <c r="AC162" s="126">
        <v>0</v>
      </c>
      <c r="AD162" s="124">
        <v>0</v>
      </c>
      <c r="AE162" s="126">
        <v>0</v>
      </c>
      <c r="AF162" s="124">
        <v>0</v>
      </c>
      <c r="AG162" s="126">
        <v>0</v>
      </c>
      <c r="AH162" s="126">
        <v>0</v>
      </c>
      <c r="AI162" s="126"/>
      <c r="AJ162" s="126"/>
      <c r="AK162" s="103">
        <v>14</v>
      </c>
    </row>
    <row r="163" spans="1:37" s="127" customFormat="1" ht="15.75">
      <c r="A163" s="120">
        <v>161</v>
      </c>
      <c r="B163" s="126" t="s">
        <v>784</v>
      </c>
      <c r="C163" s="129" t="s">
        <v>705</v>
      </c>
      <c r="D163" s="122" t="str">
        <f>"9040138"</f>
        <v>9040138</v>
      </c>
      <c r="E163" s="129" t="s">
        <v>467</v>
      </c>
      <c r="F163" s="126" t="s">
        <v>25</v>
      </c>
      <c r="G163" s="129" t="s">
        <v>785</v>
      </c>
      <c r="H163" s="126" t="s">
        <v>800</v>
      </c>
      <c r="I163" s="126">
        <v>5</v>
      </c>
      <c r="J163" s="126">
        <v>2</v>
      </c>
      <c r="K163" s="126">
        <v>3</v>
      </c>
      <c r="L163" s="124">
        <v>1</v>
      </c>
      <c r="M163" s="126">
        <v>1</v>
      </c>
      <c r="N163" s="126">
        <v>1</v>
      </c>
      <c r="O163" s="126">
        <v>2</v>
      </c>
      <c r="P163" s="126"/>
      <c r="Q163" s="126">
        <v>2</v>
      </c>
      <c r="R163" s="126">
        <v>1</v>
      </c>
      <c r="S163" s="126">
        <v>1</v>
      </c>
      <c r="T163" s="124"/>
      <c r="U163" s="126">
        <v>1</v>
      </c>
      <c r="V163" s="126"/>
      <c r="W163" s="126">
        <v>3</v>
      </c>
      <c r="X163" s="126">
        <v>3</v>
      </c>
      <c r="Y163" s="126">
        <v>0</v>
      </c>
      <c r="Z163" s="124">
        <v>0</v>
      </c>
      <c r="AA163" s="126">
        <v>0</v>
      </c>
      <c r="AB163" s="124">
        <v>0</v>
      </c>
      <c r="AC163" s="126">
        <v>0</v>
      </c>
      <c r="AD163" s="124">
        <v>0</v>
      </c>
      <c r="AE163" s="126">
        <v>4</v>
      </c>
      <c r="AF163" s="124">
        <v>0</v>
      </c>
      <c r="AG163" s="126">
        <v>0</v>
      </c>
      <c r="AH163" s="126">
        <v>0</v>
      </c>
      <c r="AI163" s="126"/>
      <c r="AJ163" s="126"/>
      <c r="AK163" s="103">
        <v>96</v>
      </c>
    </row>
    <row r="164" spans="1:37" s="127" customFormat="1" ht="15.75">
      <c r="A164" s="120">
        <v>162</v>
      </c>
      <c r="B164" s="126" t="s">
        <v>784</v>
      </c>
      <c r="C164" s="129" t="s">
        <v>707</v>
      </c>
      <c r="D164" s="122" t="str">
        <f>"9040146"</f>
        <v>9040146</v>
      </c>
      <c r="E164" s="129" t="s">
        <v>467</v>
      </c>
      <c r="F164" s="126" t="s">
        <v>25</v>
      </c>
      <c r="G164" s="129" t="s">
        <v>785</v>
      </c>
      <c r="H164" s="126" t="s">
        <v>801</v>
      </c>
      <c r="I164" s="126">
        <v>8</v>
      </c>
      <c r="J164" s="126">
        <v>1</v>
      </c>
      <c r="K164" s="126">
        <v>2</v>
      </c>
      <c r="L164" s="124">
        <v>1</v>
      </c>
      <c r="M164" s="126">
        <v>2</v>
      </c>
      <c r="N164" s="126">
        <v>1</v>
      </c>
      <c r="O164" s="126">
        <v>1</v>
      </c>
      <c r="P164" s="126"/>
      <c r="Q164" s="126">
        <v>1</v>
      </c>
      <c r="R164" s="126">
        <v>1</v>
      </c>
      <c r="S164" s="126">
        <v>1</v>
      </c>
      <c r="T164" s="124"/>
      <c r="U164" s="126">
        <v>1</v>
      </c>
      <c r="V164" s="126"/>
      <c r="W164" s="126">
        <v>2</v>
      </c>
      <c r="X164" s="126">
        <v>2</v>
      </c>
      <c r="Y164" s="126">
        <v>1</v>
      </c>
      <c r="Z164" s="124">
        <v>1</v>
      </c>
      <c r="AA164" s="126">
        <v>0</v>
      </c>
      <c r="AB164" s="124">
        <v>0</v>
      </c>
      <c r="AC164" s="126">
        <v>0</v>
      </c>
      <c r="AD164" s="124">
        <v>0</v>
      </c>
      <c r="AE164" s="126">
        <v>0</v>
      </c>
      <c r="AF164" s="124">
        <v>0</v>
      </c>
      <c r="AG164" s="126">
        <v>0</v>
      </c>
      <c r="AH164" s="126">
        <v>0</v>
      </c>
      <c r="AI164" s="126"/>
      <c r="AJ164" s="126"/>
      <c r="AK164" s="103">
        <v>60</v>
      </c>
    </row>
    <row r="165" spans="1:37" s="127" customFormat="1" ht="15.75">
      <c r="A165" s="120">
        <v>163</v>
      </c>
      <c r="B165" s="126" t="s">
        <v>784</v>
      </c>
      <c r="C165" s="129" t="s">
        <v>708</v>
      </c>
      <c r="D165" s="122" t="str">
        <f>"9040149"</f>
        <v>9040149</v>
      </c>
      <c r="E165" s="129" t="s">
        <v>467</v>
      </c>
      <c r="F165" s="126" t="s">
        <v>25</v>
      </c>
      <c r="G165" s="129" t="s">
        <v>785</v>
      </c>
      <c r="H165" s="126" t="s">
        <v>802</v>
      </c>
      <c r="I165" s="126">
        <v>2</v>
      </c>
      <c r="J165" s="126">
        <v>1</v>
      </c>
      <c r="K165" s="126">
        <v>3</v>
      </c>
      <c r="L165" s="124">
        <v>1</v>
      </c>
      <c r="M165" s="126">
        <v>1</v>
      </c>
      <c r="N165" s="126">
        <v>1</v>
      </c>
      <c r="O165" s="126">
        <v>2</v>
      </c>
      <c r="P165" s="126"/>
      <c r="Q165" s="126">
        <v>1</v>
      </c>
      <c r="R165" s="126">
        <v>1</v>
      </c>
      <c r="S165" s="126">
        <v>1</v>
      </c>
      <c r="T165" s="124"/>
      <c r="U165" s="126">
        <v>1</v>
      </c>
      <c r="V165" s="126"/>
      <c r="W165" s="126">
        <v>1</v>
      </c>
      <c r="X165" s="126">
        <v>1</v>
      </c>
      <c r="Y165" s="126">
        <v>1</v>
      </c>
      <c r="Z165" s="124">
        <v>1</v>
      </c>
      <c r="AA165" s="126">
        <v>0</v>
      </c>
      <c r="AB165" s="124">
        <v>0</v>
      </c>
      <c r="AC165" s="126">
        <v>0</v>
      </c>
      <c r="AD165" s="124">
        <v>0</v>
      </c>
      <c r="AE165" s="126">
        <v>2</v>
      </c>
      <c r="AF165" s="124">
        <v>0</v>
      </c>
      <c r="AG165" s="126">
        <v>0</v>
      </c>
      <c r="AH165" s="126">
        <v>0</v>
      </c>
      <c r="AI165" s="126"/>
      <c r="AJ165" s="126"/>
      <c r="AK165" s="103">
        <v>11</v>
      </c>
    </row>
    <row r="166" spans="1:37" s="127" customFormat="1" ht="15.75">
      <c r="A166" s="120">
        <v>164</v>
      </c>
      <c r="B166" s="126" t="s">
        <v>784</v>
      </c>
      <c r="C166" s="129" t="s">
        <v>709</v>
      </c>
      <c r="D166" s="122" t="str">
        <f>"9040150"</f>
        <v>9040150</v>
      </c>
      <c r="E166" s="129" t="s">
        <v>467</v>
      </c>
      <c r="F166" s="126" t="s">
        <v>25</v>
      </c>
      <c r="G166" s="129" t="s">
        <v>785</v>
      </c>
      <c r="H166" s="126" t="s">
        <v>803</v>
      </c>
      <c r="I166" s="126">
        <v>0</v>
      </c>
      <c r="J166" s="126">
        <v>0</v>
      </c>
      <c r="K166" s="126">
        <v>4</v>
      </c>
      <c r="L166" s="124">
        <v>1</v>
      </c>
      <c r="M166" s="126">
        <v>4</v>
      </c>
      <c r="N166" s="126">
        <v>1</v>
      </c>
      <c r="O166" s="126">
        <v>0</v>
      </c>
      <c r="P166" s="126"/>
      <c r="Q166" s="126">
        <v>0</v>
      </c>
      <c r="R166" s="126"/>
      <c r="S166" s="126">
        <v>1</v>
      </c>
      <c r="T166" s="124"/>
      <c r="U166" s="126">
        <v>0</v>
      </c>
      <c r="V166" s="126"/>
      <c r="W166" s="126">
        <v>1</v>
      </c>
      <c r="X166" s="126">
        <v>1</v>
      </c>
      <c r="Y166" s="126">
        <v>0</v>
      </c>
      <c r="Z166" s="124">
        <v>0</v>
      </c>
      <c r="AA166" s="126">
        <v>0</v>
      </c>
      <c r="AB166" s="124">
        <v>0</v>
      </c>
      <c r="AC166" s="126">
        <v>0</v>
      </c>
      <c r="AD166" s="124">
        <v>0</v>
      </c>
      <c r="AE166" s="126">
        <v>0</v>
      </c>
      <c r="AF166" s="124">
        <v>0</v>
      </c>
      <c r="AG166" s="126">
        <v>0</v>
      </c>
      <c r="AH166" s="126">
        <v>0</v>
      </c>
      <c r="AI166" s="126"/>
      <c r="AJ166" s="126"/>
      <c r="AK166" s="103">
        <v>51</v>
      </c>
    </row>
    <row r="167" spans="1:37" s="127" customFormat="1" ht="15.75">
      <c r="A167" s="120">
        <v>165</v>
      </c>
      <c r="B167" s="126" t="s">
        <v>784</v>
      </c>
      <c r="C167" s="129" t="s">
        <v>711</v>
      </c>
      <c r="D167" s="122" t="str">
        <f>"9040163"</f>
        <v>9040163</v>
      </c>
      <c r="E167" s="129" t="s">
        <v>467</v>
      </c>
      <c r="F167" s="126" t="s">
        <v>25</v>
      </c>
      <c r="G167" s="129" t="s">
        <v>785</v>
      </c>
      <c r="H167" s="126" t="s">
        <v>803</v>
      </c>
      <c r="I167" s="126"/>
      <c r="J167" s="126"/>
      <c r="K167" s="126">
        <v>1</v>
      </c>
      <c r="L167" s="124">
        <v>1</v>
      </c>
      <c r="M167" s="126">
        <v>1</v>
      </c>
      <c r="N167" s="126">
        <v>1</v>
      </c>
      <c r="O167" s="126">
        <v>0</v>
      </c>
      <c r="P167" s="126"/>
      <c r="Q167" s="126">
        <v>2</v>
      </c>
      <c r="R167" s="126">
        <v>1</v>
      </c>
      <c r="S167" s="126">
        <v>0</v>
      </c>
      <c r="T167" s="124"/>
      <c r="U167" s="126">
        <v>1</v>
      </c>
      <c r="V167" s="126"/>
      <c r="W167" s="126">
        <v>4</v>
      </c>
      <c r="X167" s="126">
        <v>4</v>
      </c>
      <c r="Y167" s="126">
        <v>0</v>
      </c>
      <c r="Z167" s="124">
        <v>0</v>
      </c>
      <c r="AA167" s="126">
        <v>0</v>
      </c>
      <c r="AB167" s="124">
        <v>0</v>
      </c>
      <c r="AC167" s="126">
        <v>0</v>
      </c>
      <c r="AD167" s="124">
        <v>0</v>
      </c>
      <c r="AE167" s="126">
        <v>0</v>
      </c>
      <c r="AF167" s="124">
        <v>0</v>
      </c>
      <c r="AG167" s="126">
        <v>0</v>
      </c>
      <c r="AH167" s="126">
        <v>0</v>
      </c>
      <c r="AI167" s="126" t="s">
        <v>834</v>
      </c>
      <c r="AJ167" s="126" t="s">
        <v>834</v>
      </c>
      <c r="AK167" s="103">
        <v>22</v>
      </c>
    </row>
    <row r="168" spans="1:37" s="127" customFormat="1" ht="15.75">
      <c r="A168" s="120">
        <v>166</v>
      </c>
      <c r="B168" s="126" t="s">
        <v>784</v>
      </c>
      <c r="C168" s="129" t="s">
        <v>714</v>
      </c>
      <c r="D168" s="122" t="str">
        <f>"9040167"</f>
        <v>9040167</v>
      </c>
      <c r="E168" s="129" t="s">
        <v>467</v>
      </c>
      <c r="F168" s="126" t="s">
        <v>25</v>
      </c>
      <c r="G168" s="129" t="s">
        <v>785</v>
      </c>
      <c r="H168" s="126" t="s">
        <v>59</v>
      </c>
      <c r="I168" s="126">
        <v>6</v>
      </c>
      <c r="J168" s="126">
        <v>1</v>
      </c>
      <c r="K168" s="126">
        <v>3</v>
      </c>
      <c r="L168" s="124">
        <v>1</v>
      </c>
      <c r="M168" s="126">
        <v>0</v>
      </c>
      <c r="N168" s="126"/>
      <c r="O168" s="126">
        <v>1</v>
      </c>
      <c r="P168" s="126">
        <v>1</v>
      </c>
      <c r="Q168" s="126">
        <v>0</v>
      </c>
      <c r="R168" s="126"/>
      <c r="S168" s="126">
        <v>0</v>
      </c>
      <c r="T168" s="124"/>
      <c r="U168" s="126">
        <v>1</v>
      </c>
      <c r="V168" s="126">
        <v>1</v>
      </c>
      <c r="W168" s="126">
        <v>0</v>
      </c>
      <c r="X168" s="126">
        <v>0</v>
      </c>
      <c r="Y168" s="126">
        <v>0</v>
      </c>
      <c r="Z168" s="124">
        <v>0</v>
      </c>
      <c r="AA168" s="126">
        <v>0</v>
      </c>
      <c r="AB168" s="124">
        <v>0</v>
      </c>
      <c r="AC168" s="126">
        <v>0</v>
      </c>
      <c r="AD168" s="124">
        <v>0</v>
      </c>
      <c r="AE168" s="126">
        <v>1</v>
      </c>
      <c r="AF168" s="124">
        <v>0</v>
      </c>
      <c r="AG168" s="126">
        <v>0</v>
      </c>
      <c r="AH168" s="126">
        <v>0</v>
      </c>
      <c r="AI168" s="126"/>
      <c r="AJ168" s="126"/>
      <c r="AK168" s="103">
        <v>13</v>
      </c>
    </row>
    <row r="169" spans="1:37" s="127" customFormat="1" ht="15.75">
      <c r="A169" s="120">
        <v>167</v>
      </c>
      <c r="B169" s="126" t="s">
        <v>784</v>
      </c>
      <c r="C169" s="129" t="s">
        <v>732</v>
      </c>
      <c r="D169" s="122" t="str">
        <f>"9040176"</f>
        <v>9040176</v>
      </c>
      <c r="E169" s="129" t="s">
        <v>467</v>
      </c>
      <c r="F169" s="126" t="s">
        <v>25</v>
      </c>
      <c r="G169" s="129" t="s">
        <v>785</v>
      </c>
      <c r="H169" s="126" t="s">
        <v>821</v>
      </c>
      <c r="I169" s="126"/>
      <c r="J169" s="126"/>
      <c r="K169" s="126"/>
      <c r="L169" s="124"/>
      <c r="M169" s="126"/>
      <c r="N169" s="126"/>
      <c r="O169" s="126"/>
      <c r="P169" s="126"/>
      <c r="Q169" s="126"/>
      <c r="R169" s="126"/>
      <c r="S169" s="126"/>
      <c r="T169" s="124"/>
      <c r="U169" s="126"/>
      <c r="V169" s="126"/>
      <c r="W169" s="126"/>
      <c r="X169" s="126"/>
      <c r="Y169" s="126"/>
      <c r="Z169" s="124">
        <v>0</v>
      </c>
      <c r="AA169" s="126"/>
      <c r="AB169" s="124">
        <v>0</v>
      </c>
      <c r="AC169" s="126"/>
      <c r="AD169" s="124">
        <v>0</v>
      </c>
      <c r="AE169" s="126"/>
      <c r="AF169" s="124">
        <v>0</v>
      </c>
      <c r="AG169" s="126"/>
      <c r="AH169" s="126"/>
      <c r="AI169" s="126"/>
      <c r="AJ169" s="126"/>
      <c r="AK169" s="103">
        <v>4</v>
      </c>
    </row>
    <row r="170" spans="1:37" s="127" customFormat="1" ht="15.75">
      <c r="A170" s="120">
        <v>168</v>
      </c>
      <c r="B170" s="126" t="s">
        <v>784</v>
      </c>
      <c r="C170" s="129" t="s">
        <v>729</v>
      </c>
      <c r="D170" s="122" t="str">
        <f>"9040184"</f>
        <v>9040184</v>
      </c>
      <c r="E170" s="129" t="s">
        <v>467</v>
      </c>
      <c r="F170" s="126" t="s">
        <v>25</v>
      </c>
      <c r="G170" s="129" t="s">
        <v>785</v>
      </c>
      <c r="H170" s="126" t="s">
        <v>818</v>
      </c>
      <c r="I170" s="126"/>
      <c r="J170" s="126"/>
      <c r="K170" s="126"/>
      <c r="L170" s="124"/>
      <c r="M170" s="126"/>
      <c r="N170" s="126"/>
      <c r="O170" s="126"/>
      <c r="P170" s="126"/>
      <c r="Q170" s="126"/>
      <c r="R170" s="126"/>
      <c r="S170" s="126"/>
      <c r="T170" s="124"/>
      <c r="U170" s="126"/>
      <c r="V170" s="126"/>
      <c r="W170" s="126"/>
      <c r="X170" s="126"/>
      <c r="Y170" s="126"/>
      <c r="Z170" s="124">
        <v>0</v>
      </c>
      <c r="AA170" s="126"/>
      <c r="AB170" s="124">
        <v>0</v>
      </c>
      <c r="AC170" s="126"/>
      <c r="AD170" s="124">
        <v>0</v>
      </c>
      <c r="AE170" s="126"/>
      <c r="AF170" s="124">
        <v>0</v>
      </c>
      <c r="AG170" s="126"/>
      <c r="AH170" s="126"/>
      <c r="AI170" s="126"/>
      <c r="AJ170" s="126"/>
      <c r="AK170" s="103">
        <v>9</v>
      </c>
    </row>
    <row r="171" spans="1:37" s="127" customFormat="1" ht="15.75">
      <c r="A171" s="120">
        <v>169</v>
      </c>
      <c r="B171" s="126" t="s">
        <v>784</v>
      </c>
      <c r="C171" s="129" t="s">
        <v>731</v>
      </c>
      <c r="D171" s="122" t="str">
        <f>"9040187"</f>
        <v>9040187</v>
      </c>
      <c r="E171" s="129" t="s">
        <v>467</v>
      </c>
      <c r="F171" s="126" t="s">
        <v>25</v>
      </c>
      <c r="G171" s="129" t="s">
        <v>785</v>
      </c>
      <c r="H171" s="126" t="s">
        <v>820</v>
      </c>
      <c r="I171" s="126"/>
      <c r="J171" s="126"/>
      <c r="K171" s="126">
        <v>1</v>
      </c>
      <c r="L171" s="124">
        <v>1</v>
      </c>
      <c r="M171" s="126">
        <v>1</v>
      </c>
      <c r="N171" s="126">
        <v>1</v>
      </c>
      <c r="O171" s="126">
        <v>1</v>
      </c>
      <c r="P171" s="126"/>
      <c r="Q171" s="126">
        <v>1</v>
      </c>
      <c r="R171" s="126">
        <v>1</v>
      </c>
      <c r="S171" s="126">
        <v>1</v>
      </c>
      <c r="T171" s="124"/>
      <c r="U171" s="126">
        <v>1</v>
      </c>
      <c r="V171" s="126"/>
      <c r="W171" s="126">
        <v>1</v>
      </c>
      <c r="X171" s="126">
        <v>1</v>
      </c>
      <c r="Y171" s="126"/>
      <c r="Z171" s="124">
        <v>0</v>
      </c>
      <c r="AA171" s="126">
        <v>0</v>
      </c>
      <c r="AB171" s="124">
        <v>0</v>
      </c>
      <c r="AC171" s="126">
        <v>0</v>
      </c>
      <c r="AD171" s="124">
        <v>0</v>
      </c>
      <c r="AE171" s="126">
        <v>1</v>
      </c>
      <c r="AF171" s="124">
        <v>0</v>
      </c>
      <c r="AG171" s="126">
        <v>0</v>
      </c>
      <c r="AH171" s="126">
        <v>0</v>
      </c>
      <c r="AI171" s="126" t="s">
        <v>834</v>
      </c>
      <c r="AJ171" s="126" t="s">
        <v>834</v>
      </c>
      <c r="AK171" s="103">
        <v>15</v>
      </c>
    </row>
    <row r="172" spans="1:37" s="127" customFormat="1" ht="15.75">
      <c r="A172" s="120">
        <v>170</v>
      </c>
      <c r="B172" s="126" t="s">
        <v>784</v>
      </c>
      <c r="C172" s="129" t="s">
        <v>735</v>
      </c>
      <c r="D172" s="122" t="str">
        <f>"9040195"</f>
        <v>9040195</v>
      </c>
      <c r="E172" s="129" t="s">
        <v>467</v>
      </c>
      <c r="F172" s="126" t="s">
        <v>25</v>
      </c>
      <c r="G172" s="129" t="s">
        <v>785</v>
      </c>
      <c r="H172" s="126" t="s">
        <v>825</v>
      </c>
      <c r="I172" s="126">
        <v>1</v>
      </c>
      <c r="J172" s="126">
        <v>1</v>
      </c>
      <c r="K172" s="126">
        <v>1</v>
      </c>
      <c r="L172" s="124">
        <v>1</v>
      </c>
      <c r="M172" s="126">
        <v>1</v>
      </c>
      <c r="N172" s="126">
        <v>1</v>
      </c>
      <c r="O172" s="126">
        <v>1</v>
      </c>
      <c r="P172" s="126"/>
      <c r="Q172" s="126">
        <v>1</v>
      </c>
      <c r="R172" s="126">
        <v>1</v>
      </c>
      <c r="S172" s="126">
        <v>1</v>
      </c>
      <c r="T172" s="124"/>
      <c r="U172" s="126">
        <v>1</v>
      </c>
      <c r="V172" s="126"/>
      <c r="W172" s="126">
        <v>1</v>
      </c>
      <c r="X172" s="126">
        <v>1</v>
      </c>
      <c r="Y172" s="126">
        <v>1</v>
      </c>
      <c r="Z172" s="124">
        <v>1</v>
      </c>
      <c r="AA172" s="126">
        <v>1</v>
      </c>
      <c r="AB172" s="124">
        <v>0</v>
      </c>
      <c r="AC172" s="126">
        <v>1</v>
      </c>
      <c r="AD172" s="124">
        <v>1</v>
      </c>
      <c r="AE172" s="126">
        <v>1</v>
      </c>
      <c r="AF172" s="124">
        <v>0</v>
      </c>
      <c r="AG172" s="126">
        <v>0</v>
      </c>
      <c r="AH172" s="126">
        <v>0</v>
      </c>
      <c r="AI172" s="126"/>
      <c r="AJ172" s="126"/>
      <c r="AK172" s="103">
        <v>78</v>
      </c>
    </row>
    <row r="173" spans="1:37" s="127" customFormat="1" ht="15.75">
      <c r="A173" s="120">
        <v>171</v>
      </c>
      <c r="B173" s="126" t="s">
        <v>784</v>
      </c>
      <c r="C173" s="129" t="s">
        <v>695</v>
      </c>
      <c r="D173" s="122" t="str">
        <f>"9040203"</f>
        <v>9040203</v>
      </c>
      <c r="E173" s="129" t="s">
        <v>467</v>
      </c>
      <c r="F173" s="126" t="s">
        <v>25</v>
      </c>
      <c r="G173" s="129" t="s">
        <v>785</v>
      </c>
      <c r="H173" s="126" t="s">
        <v>795</v>
      </c>
      <c r="I173" s="126"/>
      <c r="J173" s="126"/>
      <c r="K173" s="126">
        <v>1</v>
      </c>
      <c r="L173" s="124">
        <v>1</v>
      </c>
      <c r="M173" s="126">
        <v>1</v>
      </c>
      <c r="N173" s="126">
        <v>1</v>
      </c>
      <c r="O173" s="126">
        <v>1</v>
      </c>
      <c r="P173" s="126"/>
      <c r="Q173" s="126">
        <v>1</v>
      </c>
      <c r="R173" s="126">
        <v>1</v>
      </c>
      <c r="S173" s="126">
        <v>1</v>
      </c>
      <c r="T173" s="124"/>
      <c r="U173" s="126">
        <v>1</v>
      </c>
      <c r="V173" s="126"/>
      <c r="W173" s="126">
        <v>2</v>
      </c>
      <c r="X173" s="126">
        <v>2</v>
      </c>
      <c r="Y173" s="126"/>
      <c r="Z173" s="124">
        <v>0</v>
      </c>
      <c r="AA173" s="126">
        <v>0</v>
      </c>
      <c r="AB173" s="124">
        <v>0</v>
      </c>
      <c r="AC173" s="126">
        <v>0</v>
      </c>
      <c r="AD173" s="124">
        <v>0</v>
      </c>
      <c r="AE173" s="126">
        <v>0</v>
      </c>
      <c r="AF173" s="124">
        <v>0</v>
      </c>
      <c r="AG173" s="126">
        <v>0</v>
      </c>
      <c r="AH173" s="126">
        <v>0</v>
      </c>
      <c r="AI173" s="126" t="s">
        <v>841</v>
      </c>
      <c r="AJ173" s="126" t="s">
        <v>841</v>
      </c>
      <c r="AK173" s="103">
        <v>46</v>
      </c>
    </row>
    <row r="174" spans="1:37" s="127" customFormat="1" ht="15.75">
      <c r="A174" s="120">
        <v>172</v>
      </c>
      <c r="B174" s="126" t="s">
        <v>784</v>
      </c>
      <c r="C174" s="129" t="s">
        <v>706</v>
      </c>
      <c r="D174" s="122" t="str">
        <f>"9040224"</f>
        <v>9040224</v>
      </c>
      <c r="E174" s="129" t="s">
        <v>467</v>
      </c>
      <c r="F174" s="126" t="s">
        <v>25</v>
      </c>
      <c r="G174" s="129" t="s">
        <v>785</v>
      </c>
      <c r="H174" s="126" t="s">
        <v>236</v>
      </c>
      <c r="I174" s="126"/>
      <c r="J174" s="126"/>
      <c r="K174" s="126">
        <v>1</v>
      </c>
      <c r="L174" s="124">
        <v>1</v>
      </c>
      <c r="M174" s="126">
        <v>2</v>
      </c>
      <c r="N174" s="126">
        <v>1</v>
      </c>
      <c r="O174" s="126">
        <v>0</v>
      </c>
      <c r="P174" s="126"/>
      <c r="Q174" s="126">
        <v>1</v>
      </c>
      <c r="R174" s="126">
        <v>1</v>
      </c>
      <c r="S174" s="126">
        <v>1</v>
      </c>
      <c r="T174" s="124"/>
      <c r="U174" s="126">
        <v>1</v>
      </c>
      <c r="V174" s="126"/>
      <c r="W174" s="126">
        <v>3</v>
      </c>
      <c r="X174" s="126">
        <v>3</v>
      </c>
      <c r="Y174" s="126"/>
      <c r="Z174" s="124">
        <v>0</v>
      </c>
      <c r="AA174" s="126" t="s">
        <v>900</v>
      </c>
      <c r="AB174" s="124">
        <v>1</v>
      </c>
      <c r="AC174" s="126">
        <v>0</v>
      </c>
      <c r="AD174" s="124">
        <v>0</v>
      </c>
      <c r="AE174" s="126">
        <v>3</v>
      </c>
      <c r="AF174" s="124">
        <v>0</v>
      </c>
      <c r="AG174" s="126">
        <v>0</v>
      </c>
      <c r="AH174" s="126">
        <v>0</v>
      </c>
      <c r="AI174" s="126" t="s">
        <v>834</v>
      </c>
      <c r="AJ174" s="126" t="s">
        <v>834</v>
      </c>
      <c r="AK174" s="103">
        <v>63</v>
      </c>
    </row>
    <row r="175" spans="1:37" s="127" customFormat="1" ht="15.75">
      <c r="A175" s="120">
        <v>173</v>
      </c>
      <c r="B175" s="126" t="s">
        <v>784</v>
      </c>
      <c r="C175" s="129" t="s">
        <v>685</v>
      </c>
      <c r="D175" s="122" t="str">
        <f>"9040239"</f>
        <v>9040239</v>
      </c>
      <c r="E175" s="129" t="s">
        <v>467</v>
      </c>
      <c r="F175" s="126" t="s">
        <v>25</v>
      </c>
      <c r="G175" s="129" t="s">
        <v>785</v>
      </c>
      <c r="H175" s="126" t="s">
        <v>25</v>
      </c>
      <c r="I175" s="126">
        <v>4</v>
      </c>
      <c r="J175" s="126">
        <v>2</v>
      </c>
      <c r="K175" s="126">
        <v>5</v>
      </c>
      <c r="L175" s="124">
        <v>2</v>
      </c>
      <c r="M175" s="126">
        <v>1</v>
      </c>
      <c r="N175" s="126">
        <v>1</v>
      </c>
      <c r="O175" s="126">
        <v>1</v>
      </c>
      <c r="P175" s="126"/>
      <c r="Q175" s="126">
        <v>1</v>
      </c>
      <c r="R175" s="126">
        <v>1</v>
      </c>
      <c r="S175" s="126">
        <v>1</v>
      </c>
      <c r="T175" s="124"/>
      <c r="U175" s="126">
        <v>1</v>
      </c>
      <c r="V175" s="126"/>
      <c r="W175" s="126">
        <v>1</v>
      </c>
      <c r="X175" s="126">
        <v>1</v>
      </c>
      <c r="Y175" s="126">
        <v>0</v>
      </c>
      <c r="Z175" s="124">
        <v>0</v>
      </c>
      <c r="AA175" s="126">
        <v>0</v>
      </c>
      <c r="AB175" s="124">
        <v>0</v>
      </c>
      <c r="AC175" s="126">
        <v>0</v>
      </c>
      <c r="AD175" s="124">
        <v>0</v>
      </c>
      <c r="AE175" s="126">
        <v>5</v>
      </c>
      <c r="AF175" s="124">
        <v>0</v>
      </c>
      <c r="AG175" s="126">
        <v>0</v>
      </c>
      <c r="AH175" s="126">
        <v>0</v>
      </c>
      <c r="AI175" s="126"/>
      <c r="AJ175" s="126"/>
      <c r="AK175" s="103">
        <v>148</v>
      </c>
    </row>
    <row r="176" spans="1:37" s="127" customFormat="1" ht="15.75">
      <c r="A176" s="120">
        <v>174</v>
      </c>
      <c r="B176" s="126" t="s">
        <v>784</v>
      </c>
      <c r="C176" s="129" t="s">
        <v>684</v>
      </c>
      <c r="D176" s="122" t="str">
        <f>"9040252"</f>
        <v>9040252</v>
      </c>
      <c r="E176" s="129" t="s">
        <v>467</v>
      </c>
      <c r="F176" s="126" t="s">
        <v>25</v>
      </c>
      <c r="G176" s="129" t="s">
        <v>785</v>
      </c>
      <c r="H176" s="126" t="s">
        <v>25</v>
      </c>
      <c r="I176" s="126">
        <v>10</v>
      </c>
      <c r="J176" s="126">
        <v>2</v>
      </c>
      <c r="K176" s="126">
        <v>6</v>
      </c>
      <c r="L176" s="124">
        <v>2</v>
      </c>
      <c r="M176" s="126">
        <v>6</v>
      </c>
      <c r="N176" s="126">
        <v>2</v>
      </c>
      <c r="O176" s="126">
        <v>1</v>
      </c>
      <c r="P176" s="126"/>
      <c r="Q176" s="126">
        <v>1</v>
      </c>
      <c r="R176" s="126">
        <v>1</v>
      </c>
      <c r="S176" s="126">
        <v>1</v>
      </c>
      <c r="T176" s="124"/>
      <c r="U176" s="126">
        <v>1</v>
      </c>
      <c r="V176" s="126"/>
      <c r="W176" s="126">
        <v>1</v>
      </c>
      <c r="X176" s="126">
        <v>1</v>
      </c>
      <c r="Y176" s="126">
        <v>1</v>
      </c>
      <c r="Z176" s="124">
        <v>0</v>
      </c>
      <c r="AA176" s="126">
        <v>0</v>
      </c>
      <c r="AB176" s="124">
        <v>0</v>
      </c>
      <c r="AC176" s="126">
        <v>0</v>
      </c>
      <c r="AD176" s="124">
        <v>0</v>
      </c>
      <c r="AE176" s="126">
        <v>0</v>
      </c>
      <c r="AF176" s="124">
        <v>0</v>
      </c>
      <c r="AG176" s="126">
        <v>0</v>
      </c>
      <c r="AH176" s="126">
        <v>0</v>
      </c>
      <c r="AI176" s="126"/>
      <c r="AJ176" s="126"/>
      <c r="AK176" s="103">
        <v>97</v>
      </c>
    </row>
    <row r="177" spans="1:37" s="127" customFormat="1" ht="15.75">
      <c r="A177" s="120">
        <v>175</v>
      </c>
      <c r="B177" s="126" t="s">
        <v>784</v>
      </c>
      <c r="C177" s="129" t="s">
        <v>682</v>
      </c>
      <c r="D177" s="122" t="str">
        <f>"9040257"</f>
        <v>9040257</v>
      </c>
      <c r="E177" s="129" t="s">
        <v>467</v>
      </c>
      <c r="F177" s="126" t="s">
        <v>25</v>
      </c>
      <c r="G177" s="129" t="s">
        <v>785</v>
      </c>
      <c r="H177" s="126" t="s">
        <v>25</v>
      </c>
      <c r="I177" s="126"/>
      <c r="J177" s="126"/>
      <c r="K177" s="126"/>
      <c r="L177" s="124">
        <v>1</v>
      </c>
      <c r="M177" s="126"/>
      <c r="N177" s="126"/>
      <c r="O177" s="126"/>
      <c r="P177" s="126"/>
      <c r="Q177" s="126"/>
      <c r="R177" s="126"/>
      <c r="S177" s="126"/>
      <c r="T177" s="124"/>
      <c r="U177" s="126"/>
      <c r="V177" s="126"/>
      <c r="W177" s="126"/>
      <c r="X177" s="126"/>
      <c r="Y177" s="126"/>
      <c r="Z177" s="124">
        <v>0</v>
      </c>
      <c r="AA177" s="126"/>
      <c r="AB177" s="124">
        <v>0</v>
      </c>
      <c r="AC177" s="126"/>
      <c r="AD177" s="124">
        <v>0</v>
      </c>
      <c r="AE177" s="126"/>
      <c r="AF177" s="124">
        <v>0</v>
      </c>
      <c r="AG177" s="126"/>
      <c r="AH177" s="126"/>
      <c r="AI177" s="126"/>
      <c r="AJ177" s="126"/>
      <c r="AK177" s="103">
        <v>26</v>
      </c>
    </row>
    <row r="178" spans="1:37" s="127" customFormat="1" ht="15.75">
      <c r="A178" s="120">
        <v>176</v>
      </c>
      <c r="B178" s="126" t="s">
        <v>784</v>
      </c>
      <c r="C178" s="129" t="s">
        <v>689</v>
      </c>
      <c r="D178" s="122" t="str">
        <f>"9040264"</f>
        <v>9040264</v>
      </c>
      <c r="E178" s="129" t="s">
        <v>467</v>
      </c>
      <c r="F178" s="126" t="s">
        <v>25</v>
      </c>
      <c r="G178" s="129" t="s">
        <v>785</v>
      </c>
      <c r="H178" s="126" t="s">
        <v>25</v>
      </c>
      <c r="I178" s="126">
        <v>14</v>
      </c>
      <c r="J178" s="126">
        <v>2</v>
      </c>
      <c r="K178" s="126">
        <v>3</v>
      </c>
      <c r="L178" s="124">
        <v>1</v>
      </c>
      <c r="M178" s="126">
        <v>1</v>
      </c>
      <c r="N178" s="126">
        <v>1</v>
      </c>
      <c r="O178" s="126">
        <v>1</v>
      </c>
      <c r="P178" s="126"/>
      <c r="Q178" s="126">
        <v>1</v>
      </c>
      <c r="R178" s="126">
        <v>1</v>
      </c>
      <c r="S178" s="126">
        <v>1</v>
      </c>
      <c r="T178" s="124"/>
      <c r="U178" s="126">
        <v>1</v>
      </c>
      <c r="V178" s="126"/>
      <c r="W178" s="126">
        <v>2</v>
      </c>
      <c r="X178" s="126">
        <v>2</v>
      </c>
      <c r="Y178" s="126">
        <v>1</v>
      </c>
      <c r="Z178" s="124">
        <v>1</v>
      </c>
      <c r="AA178" s="126" t="s">
        <v>899</v>
      </c>
      <c r="AB178" s="124">
        <v>1</v>
      </c>
      <c r="AC178" s="126">
        <v>0</v>
      </c>
      <c r="AD178" s="124">
        <v>0</v>
      </c>
      <c r="AE178" s="126">
        <v>7</v>
      </c>
      <c r="AF178" s="124">
        <v>0</v>
      </c>
      <c r="AG178" s="126">
        <v>0</v>
      </c>
      <c r="AH178" s="126">
        <v>0</v>
      </c>
      <c r="AI178" s="126"/>
      <c r="AJ178" s="126"/>
      <c r="AK178" s="103">
        <v>168</v>
      </c>
    </row>
    <row r="179" spans="1:37" s="127" customFormat="1" ht="15.75">
      <c r="A179" s="120">
        <v>177</v>
      </c>
      <c r="B179" s="126" t="s">
        <v>784</v>
      </c>
      <c r="C179" s="129" t="s">
        <v>701</v>
      </c>
      <c r="D179" s="122" t="str">
        <f>"9040024"</f>
        <v>9040024</v>
      </c>
      <c r="E179" s="129" t="s">
        <v>467</v>
      </c>
      <c r="F179" s="126" t="s">
        <v>25</v>
      </c>
      <c r="G179" s="129" t="s">
        <v>788</v>
      </c>
      <c r="H179" s="126" t="s">
        <v>53</v>
      </c>
      <c r="I179" s="126"/>
      <c r="J179" s="126"/>
      <c r="K179" s="126">
        <v>1</v>
      </c>
      <c r="L179" s="124">
        <v>1</v>
      </c>
      <c r="M179" s="126">
        <v>0</v>
      </c>
      <c r="N179" s="126"/>
      <c r="O179" s="126">
        <v>1</v>
      </c>
      <c r="P179" s="126">
        <v>1</v>
      </c>
      <c r="Q179" s="126">
        <v>0</v>
      </c>
      <c r="R179" s="126"/>
      <c r="S179" s="126">
        <v>0</v>
      </c>
      <c r="T179" s="124"/>
      <c r="U179" s="126">
        <v>1</v>
      </c>
      <c r="V179" s="126">
        <v>1</v>
      </c>
      <c r="W179" s="126">
        <v>1</v>
      </c>
      <c r="X179" s="126">
        <v>1</v>
      </c>
      <c r="Y179" s="126">
        <v>0</v>
      </c>
      <c r="Z179" s="124">
        <v>0</v>
      </c>
      <c r="AA179" s="126">
        <v>0</v>
      </c>
      <c r="AB179" s="124">
        <v>0</v>
      </c>
      <c r="AC179" s="126">
        <v>0</v>
      </c>
      <c r="AD179" s="124">
        <v>0</v>
      </c>
      <c r="AE179" s="126">
        <v>2</v>
      </c>
      <c r="AF179" s="124">
        <v>0</v>
      </c>
      <c r="AG179" s="126">
        <v>0</v>
      </c>
      <c r="AH179" s="126">
        <v>0</v>
      </c>
      <c r="AI179" s="126" t="s">
        <v>834</v>
      </c>
      <c r="AJ179" s="126" t="s">
        <v>834</v>
      </c>
      <c r="AK179" s="103">
        <v>13</v>
      </c>
    </row>
    <row r="180" spans="1:37" s="127" customFormat="1" ht="15.75">
      <c r="A180" s="120">
        <v>178</v>
      </c>
      <c r="B180" s="126" t="s">
        <v>784</v>
      </c>
      <c r="C180" s="129" t="s">
        <v>728</v>
      </c>
      <c r="D180" s="122" t="str">
        <f>"9040029"</f>
        <v>9040029</v>
      </c>
      <c r="E180" s="129" t="s">
        <v>467</v>
      </c>
      <c r="F180" s="126" t="s">
        <v>25</v>
      </c>
      <c r="G180" s="129" t="s">
        <v>788</v>
      </c>
      <c r="H180" s="126" t="s">
        <v>817</v>
      </c>
      <c r="I180" s="126">
        <v>3</v>
      </c>
      <c r="J180" s="126">
        <v>1</v>
      </c>
      <c r="K180" s="126">
        <v>2</v>
      </c>
      <c r="L180" s="124"/>
      <c r="M180" s="126">
        <v>0</v>
      </c>
      <c r="N180" s="126"/>
      <c r="O180" s="126">
        <v>1</v>
      </c>
      <c r="P180" s="126">
        <v>1</v>
      </c>
      <c r="Q180" s="126">
        <v>1</v>
      </c>
      <c r="R180" s="126">
        <v>1</v>
      </c>
      <c r="S180" s="126">
        <v>1</v>
      </c>
      <c r="T180" s="124"/>
      <c r="U180" s="126">
        <v>1</v>
      </c>
      <c r="V180" s="126"/>
      <c r="W180" s="126">
        <v>2</v>
      </c>
      <c r="X180" s="126">
        <v>2</v>
      </c>
      <c r="Y180" s="126">
        <v>1</v>
      </c>
      <c r="Z180" s="124">
        <v>1</v>
      </c>
      <c r="AA180" s="126">
        <v>0</v>
      </c>
      <c r="AB180" s="124">
        <v>0</v>
      </c>
      <c r="AC180" s="126">
        <v>0</v>
      </c>
      <c r="AD180" s="124">
        <v>0</v>
      </c>
      <c r="AE180" s="126">
        <v>1</v>
      </c>
      <c r="AF180" s="124">
        <v>0</v>
      </c>
      <c r="AG180" s="126">
        <v>0</v>
      </c>
      <c r="AH180" s="126">
        <v>0</v>
      </c>
      <c r="AI180" s="126"/>
      <c r="AJ180" s="126"/>
      <c r="AK180" s="103">
        <v>7</v>
      </c>
    </row>
    <row r="181" spans="1:37" s="127" customFormat="1" ht="15.75">
      <c r="A181" s="120">
        <v>179</v>
      </c>
      <c r="B181" s="126" t="s">
        <v>784</v>
      </c>
      <c r="C181" s="129" t="s">
        <v>725</v>
      </c>
      <c r="D181" s="122" t="str">
        <f>"9040055"</f>
        <v>9040055</v>
      </c>
      <c r="E181" s="129" t="s">
        <v>467</v>
      </c>
      <c r="F181" s="126" t="s">
        <v>25</v>
      </c>
      <c r="G181" s="129" t="s">
        <v>788</v>
      </c>
      <c r="H181" s="126" t="s">
        <v>816</v>
      </c>
      <c r="I181" s="126">
        <v>1</v>
      </c>
      <c r="J181" s="126">
        <v>1</v>
      </c>
      <c r="K181" s="126">
        <v>0</v>
      </c>
      <c r="L181" s="124">
        <v>1</v>
      </c>
      <c r="M181" s="126">
        <v>1</v>
      </c>
      <c r="N181" s="126">
        <v>1</v>
      </c>
      <c r="O181" s="126">
        <v>0</v>
      </c>
      <c r="P181" s="126"/>
      <c r="Q181" s="126">
        <v>1</v>
      </c>
      <c r="R181" s="126">
        <v>1</v>
      </c>
      <c r="S181" s="126">
        <v>0</v>
      </c>
      <c r="T181" s="124"/>
      <c r="U181" s="126">
        <v>0</v>
      </c>
      <c r="V181" s="126"/>
      <c r="W181" s="126">
        <v>2</v>
      </c>
      <c r="X181" s="126">
        <v>2</v>
      </c>
      <c r="Y181" s="126">
        <v>0</v>
      </c>
      <c r="Z181" s="124">
        <v>0</v>
      </c>
      <c r="AA181" s="126">
        <v>0</v>
      </c>
      <c r="AB181" s="124">
        <v>0</v>
      </c>
      <c r="AC181" s="126">
        <v>0</v>
      </c>
      <c r="AD181" s="124">
        <v>0</v>
      </c>
      <c r="AE181" s="126">
        <v>1</v>
      </c>
      <c r="AF181" s="124">
        <v>0</v>
      </c>
      <c r="AG181" s="126">
        <v>0</v>
      </c>
      <c r="AH181" s="126">
        <v>0</v>
      </c>
      <c r="AI181" s="126"/>
      <c r="AJ181" s="126"/>
      <c r="AK181" s="103">
        <v>4</v>
      </c>
    </row>
    <row r="182" spans="1:37" s="127" customFormat="1" ht="15.75">
      <c r="A182" s="120">
        <v>180</v>
      </c>
      <c r="B182" s="126" t="s">
        <v>784</v>
      </c>
      <c r="C182" s="129" t="s">
        <v>724</v>
      </c>
      <c r="D182" s="122" t="str">
        <f>"9040066"</f>
        <v>9040066</v>
      </c>
      <c r="E182" s="129" t="s">
        <v>467</v>
      </c>
      <c r="F182" s="126" t="s">
        <v>25</v>
      </c>
      <c r="G182" s="129" t="s">
        <v>788</v>
      </c>
      <c r="H182" s="126" t="s">
        <v>815</v>
      </c>
      <c r="I182" s="126">
        <v>1</v>
      </c>
      <c r="J182" s="126">
        <v>1</v>
      </c>
      <c r="K182" s="126">
        <v>2</v>
      </c>
      <c r="L182" s="124"/>
      <c r="M182" s="126">
        <v>2</v>
      </c>
      <c r="N182" s="126">
        <v>1</v>
      </c>
      <c r="O182" s="126">
        <v>1</v>
      </c>
      <c r="P182" s="126"/>
      <c r="Q182" s="126">
        <v>1</v>
      </c>
      <c r="R182" s="126">
        <v>1</v>
      </c>
      <c r="S182" s="126">
        <v>0</v>
      </c>
      <c r="T182" s="124"/>
      <c r="U182" s="126">
        <v>1</v>
      </c>
      <c r="V182" s="126"/>
      <c r="W182" s="126">
        <v>0</v>
      </c>
      <c r="X182" s="126">
        <v>0</v>
      </c>
      <c r="Y182" s="126">
        <v>0</v>
      </c>
      <c r="Z182" s="124">
        <v>0</v>
      </c>
      <c r="AA182" s="126">
        <v>0</v>
      </c>
      <c r="AB182" s="124">
        <v>0</v>
      </c>
      <c r="AC182" s="126">
        <v>0</v>
      </c>
      <c r="AD182" s="124">
        <v>0</v>
      </c>
      <c r="AE182" s="126">
        <v>0</v>
      </c>
      <c r="AF182" s="124">
        <v>0</v>
      </c>
      <c r="AG182" s="126">
        <v>0</v>
      </c>
      <c r="AH182" s="126">
        <v>0</v>
      </c>
      <c r="AI182" s="126"/>
      <c r="AJ182" s="126"/>
      <c r="AK182" s="103">
        <v>21</v>
      </c>
    </row>
    <row r="183" spans="1:37" s="127" customFormat="1" ht="15.75">
      <c r="A183" s="120">
        <v>181</v>
      </c>
      <c r="B183" s="126" t="s">
        <v>784</v>
      </c>
      <c r="C183" s="129" t="s">
        <v>719</v>
      </c>
      <c r="D183" s="122" t="str">
        <f>"9040074"</f>
        <v>9040074</v>
      </c>
      <c r="E183" s="129" t="s">
        <v>467</v>
      </c>
      <c r="F183" s="126" t="s">
        <v>25</v>
      </c>
      <c r="G183" s="129" t="s">
        <v>788</v>
      </c>
      <c r="H183" s="126" t="s">
        <v>812</v>
      </c>
      <c r="I183" s="126">
        <v>1</v>
      </c>
      <c r="J183" s="126">
        <v>1</v>
      </c>
      <c r="K183" s="126">
        <v>1</v>
      </c>
      <c r="L183" s="124">
        <v>1</v>
      </c>
      <c r="M183" s="126">
        <v>1</v>
      </c>
      <c r="N183" s="126">
        <v>1</v>
      </c>
      <c r="O183" s="126">
        <v>2</v>
      </c>
      <c r="P183" s="126"/>
      <c r="Q183" s="126">
        <v>1</v>
      </c>
      <c r="R183" s="126">
        <v>1</v>
      </c>
      <c r="S183" s="126">
        <v>1</v>
      </c>
      <c r="T183" s="124"/>
      <c r="U183" s="126">
        <v>1</v>
      </c>
      <c r="V183" s="126"/>
      <c r="W183" s="126">
        <v>1</v>
      </c>
      <c r="X183" s="126">
        <v>1</v>
      </c>
      <c r="Y183" s="126"/>
      <c r="Z183" s="124">
        <v>0</v>
      </c>
      <c r="AA183" s="126">
        <v>0</v>
      </c>
      <c r="AB183" s="124">
        <v>0</v>
      </c>
      <c r="AC183" s="126">
        <v>0</v>
      </c>
      <c r="AD183" s="124">
        <v>0</v>
      </c>
      <c r="AE183" s="126">
        <v>1</v>
      </c>
      <c r="AF183" s="124">
        <v>0</v>
      </c>
      <c r="AG183" s="126">
        <v>1</v>
      </c>
      <c r="AH183" s="126">
        <v>0</v>
      </c>
      <c r="AI183" s="126" t="s">
        <v>834</v>
      </c>
      <c r="AJ183" s="126" t="s">
        <v>834</v>
      </c>
      <c r="AK183" s="103">
        <v>6</v>
      </c>
    </row>
    <row r="184" spans="1:37" s="127" customFormat="1" ht="15.75">
      <c r="A184" s="120">
        <v>182</v>
      </c>
      <c r="B184" s="126" t="s">
        <v>784</v>
      </c>
      <c r="C184" s="129" t="s">
        <v>727</v>
      </c>
      <c r="D184" s="122" t="str">
        <f>"9040085"</f>
        <v>9040085</v>
      </c>
      <c r="E184" s="129" t="s">
        <v>467</v>
      </c>
      <c r="F184" s="126" t="s">
        <v>25</v>
      </c>
      <c r="G184" s="129" t="s">
        <v>788</v>
      </c>
      <c r="H184" s="126" t="s">
        <v>679</v>
      </c>
      <c r="I184" s="126"/>
      <c r="J184" s="126"/>
      <c r="K184" s="126"/>
      <c r="L184" s="124"/>
      <c r="M184" s="126"/>
      <c r="N184" s="126"/>
      <c r="O184" s="126"/>
      <c r="P184" s="126"/>
      <c r="Q184" s="126"/>
      <c r="R184" s="126"/>
      <c r="S184" s="126"/>
      <c r="T184" s="124"/>
      <c r="U184" s="126"/>
      <c r="V184" s="126"/>
      <c r="W184" s="126"/>
      <c r="X184" s="126"/>
      <c r="Y184" s="126"/>
      <c r="Z184" s="124">
        <v>0</v>
      </c>
      <c r="AA184" s="126"/>
      <c r="AB184" s="124">
        <v>0</v>
      </c>
      <c r="AC184" s="126"/>
      <c r="AD184" s="124">
        <v>0</v>
      </c>
      <c r="AE184" s="126"/>
      <c r="AF184" s="124">
        <v>0</v>
      </c>
      <c r="AG184" s="126"/>
      <c r="AH184" s="126"/>
      <c r="AI184" s="126"/>
      <c r="AJ184" s="126"/>
      <c r="AK184" s="103">
        <v>2</v>
      </c>
    </row>
    <row r="185" spans="1:37" s="127" customFormat="1" ht="15.75">
      <c r="A185" s="120">
        <v>183</v>
      </c>
      <c r="B185" s="126" t="s">
        <v>784</v>
      </c>
      <c r="C185" s="129" t="s">
        <v>721</v>
      </c>
      <c r="D185" s="122" t="str">
        <f>"9040089"</f>
        <v>9040089</v>
      </c>
      <c r="E185" s="129" t="s">
        <v>467</v>
      </c>
      <c r="F185" s="126" t="s">
        <v>25</v>
      </c>
      <c r="G185" s="129" t="s">
        <v>788</v>
      </c>
      <c r="H185" s="126" t="s">
        <v>814</v>
      </c>
      <c r="I185" s="126">
        <v>0</v>
      </c>
      <c r="J185" s="126">
        <v>0</v>
      </c>
      <c r="K185" s="126">
        <v>0</v>
      </c>
      <c r="L185" s="124"/>
      <c r="M185" s="126">
        <v>1</v>
      </c>
      <c r="N185" s="126">
        <v>1</v>
      </c>
      <c r="O185" s="126">
        <v>1</v>
      </c>
      <c r="P185" s="126"/>
      <c r="Q185" s="126">
        <v>0</v>
      </c>
      <c r="R185" s="126"/>
      <c r="S185" s="126">
        <v>0</v>
      </c>
      <c r="T185" s="124"/>
      <c r="U185" s="126">
        <v>1</v>
      </c>
      <c r="V185" s="126"/>
      <c r="W185" s="126">
        <v>1</v>
      </c>
      <c r="X185" s="126">
        <v>1</v>
      </c>
      <c r="Y185" s="126"/>
      <c r="Z185" s="124">
        <v>0</v>
      </c>
      <c r="AA185" s="126">
        <v>0</v>
      </c>
      <c r="AB185" s="124">
        <v>0</v>
      </c>
      <c r="AC185" s="126">
        <v>0</v>
      </c>
      <c r="AD185" s="124">
        <v>0</v>
      </c>
      <c r="AE185" s="126">
        <v>1</v>
      </c>
      <c r="AF185" s="124">
        <v>0</v>
      </c>
      <c r="AG185" s="126">
        <v>0</v>
      </c>
      <c r="AH185" s="126">
        <v>0</v>
      </c>
      <c r="AI185" s="126" t="s">
        <v>834</v>
      </c>
      <c r="AJ185" s="126" t="s">
        <v>834</v>
      </c>
      <c r="AK185" s="103">
        <v>5</v>
      </c>
    </row>
    <row r="186" spans="1:37" s="127" customFormat="1" ht="15.75">
      <c r="A186" s="120">
        <v>184</v>
      </c>
      <c r="B186" s="126" t="s">
        <v>784</v>
      </c>
      <c r="C186" s="129" t="s">
        <v>733</v>
      </c>
      <c r="D186" s="122" t="str">
        <f>"9040095"</f>
        <v>9040095</v>
      </c>
      <c r="E186" s="129" t="s">
        <v>467</v>
      </c>
      <c r="F186" s="126" t="s">
        <v>25</v>
      </c>
      <c r="G186" s="129" t="s">
        <v>788</v>
      </c>
      <c r="H186" s="126" t="s">
        <v>823</v>
      </c>
      <c r="I186" s="126"/>
      <c r="J186" s="126"/>
      <c r="K186" s="126"/>
      <c r="L186" s="124"/>
      <c r="M186" s="126"/>
      <c r="N186" s="126"/>
      <c r="O186" s="126"/>
      <c r="P186" s="126"/>
      <c r="Q186" s="126"/>
      <c r="R186" s="126"/>
      <c r="S186" s="126"/>
      <c r="T186" s="124"/>
      <c r="U186" s="126"/>
      <c r="V186" s="126"/>
      <c r="W186" s="126"/>
      <c r="X186" s="126"/>
      <c r="Y186" s="126"/>
      <c r="Z186" s="124">
        <v>0</v>
      </c>
      <c r="AA186" s="126"/>
      <c r="AB186" s="124">
        <v>0</v>
      </c>
      <c r="AC186" s="126"/>
      <c r="AD186" s="124">
        <v>0</v>
      </c>
      <c r="AE186" s="126"/>
      <c r="AF186" s="124">
        <v>0</v>
      </c>
      <c r="AG186" s="126"/>
      <c r="AH186" s="126"/>
      <c r="AI186" s="126"/>
      <c r="AJ186" s="126"/>
      <c r="AK186" s="103">
        <v>2</v>
      </c>
    </row>
    <row r="187" spans="1:37" s="127" customFormat="1" ht="15.75">
      <c r="A187" s="120">
        <v>185</v>
      </c>
      <c r="B187" s="126" t="s">
        <v>784</v>
      </c>
      <c r="C187" s="129" t="s">
        <v>703</v>
      </c>
      <c r="D187" s="122" t="str">
        <f>"9040044"</f>
        <v>9040044</v>
      </c>
      <c r="E187" s="129" t="s">
        <v>467</v>
      </c>
      <c r="F187" s="126" t="s">
        <v>25</v>
      </c>
      <c r="G187" s="129" t="s">
        <v>787</v>
      </c>
      <c r="H187" s="126" t="s">
        <v>54</v>
      </c>
      <c r="I187" s="126">
        <v>0</v>
      </c>
      <c r="J187" s="126">
        <v>0</v>
      </c>
      <c r="K187" s="126">
        <v>1</v>
      </c>
      <c r="L187" s="124">
        <v>1</v>
      </c>
      <c r="M187" s="126">
        <v>0</v>
      </c>
      <c r="N187" s="126"/>
      <c r="O187" s="126">
        <v>0</v>
      </c>
      <c r="P187" s="126"/>
      <c r="Q187" s="126">
        <v>0</v>
      </c>
      <c r="R187" s="126"/>
      <c r="S187" s="126">
        <v>1</v>
      </c>
      <c r="T187" s="124"/>
      <c r="U187" s="126">
        <v>1</v>
      </c>
      <c r="V187" s="126"/>
      <c r="W187" s="126">
        <v>0</v>
      </c>
      <c r="X187" s="126">
        <v>0</v>
      </c>
      <c r="Y187" s="126">
        <v>0</v>
      </c>
      <c r="Z187" s="124">
        <v>0</v>
      </c>
      <c r="AA187" s="126">
        <v>0</v>
      </c>
      <c r="AB187" s="124">
        <v>0</v>
      </c>
      <c r="AC187" s="126">
        <v>0</v>
      </c>
      <c r="AD187" s="124">
        <v>0</v>
      </c>
      <c r="AE187" s="126">
        <v>2</v>
      </c>
      <c r="AF187" s="124">
        <v>0</v>
      </c>
      <c r="AG187" s="126">
        <v>0</v>
      </c>
      <c r="AH187" s="126">
        <v>0</v>
      </c>
      <c r="AI187" s="126"/>
      <c r="AJ187" s="126"/>
      <c r="AK187" s="103">
        <v>27</v>
      </c>
    </row>
    <row r="188" spans="1:37" s="127" customFormat="1" ht="15.75">
      <c r="A188" s="120">
        <v>186</v>
      </c>
      <c r="B188" s="126" t="s">
        <v>784</v>
      </c>
      <c r="C188" s="129" t="s">
        <v>723</v>
      </c>
      <c r="D188" s="122" t="str">
        <f>"9040078"</f>
        <v>9040078</v>
      </c>
      <c r="E188" s="129" t="s">
        <v>467</v>
      </c>
      <c r="F188" s="126" t="s">
        <v>25</v>
      </c>
      <c r="G188" s="129" t="s">
        <v>787</v>
      </c>
      <c r="H188" s="126" t="s">
        <v>822</v>
      </c>
      <c r="I188" s="126"/>
      <c r="J188" s="126"/>
      <c r="K188" s="126"/>
      <c r="L188" s="124"/>
      <c r="M188" s="126"/>
      <c r="N188" s="126"/>
      <c r="O188" s="126"/>
      <c r="P188" s="126"/>
      <c r="Q188" s="126"/>
      <c r="R188" s="126"/>
      <c r="S188" s="126"/>
      <c r="T188" s="124"/>
      <c r="U188" s="126"/>
      <c r="V188" s="126"/>
      <c r="W188" s="126"/>
      <c r="X188" s="126"/>
      <c r="Y188" s="126"/>
      <c r="Z188" s="124">
        <v>0</v>
      </c>
      <c r="AA188" s="126"/>
      <c r="AB188" s="124">
        <v>0</v>
      </c>
      <c r="AC188" s="126"/>
      <c r="AD188" s="124">
        <v>0</v>
      </c>
      <c r="AE188" s="126"/>
      <c r="AF188" s="124">
        <v>0</v>
      </c>
      <c r="AG188" s="126"/>
      <c r="AH188" s="126"/>
      <c r="AI188" s="126"/>
      <c r="AJ188" s="126"/>
      <c r="AK188" s="103"/>
    </row>
    <row r="189" spans="1:37" s="127" customFormat="1" ht="15.75">
      <c r="A189" s="120">
        <v>187</v>
      </c>
      <c r="B189" s="126" t="s">
        <v>784</v>
      </c>
      <c r="C189" s="129" t="s">
        <v>696</v>
      </c>
      <c r="D189" s="122" t="str">
        <f>"9040118"</f>
        <v>9040118</v>
      </c>
      <c r="E189" s="129" t="s">
        <v>467</v>
      </c>
      <c r="F189" s="126" t="s">
        <v>25</v>
      </c>
      <c r="G189" s="129" t="s">
        <v>787</v>
      </c>
      <c r="H189" s="126" t="s">
        <v>796</v>
      </c>
      <c r="I189" s="126">
        <v>1</v>
      </c>
      <c r="J189" s="126">
        <v>1</v>
      </c>
      <c r="K189" s="126">
        <v>0</v>
      </c>
      <c r="L189" s="124"/>
      <c r="M189" s="126">
        <v>0</v>
      </c>
      <c r="N189" s="126"/>
      <c r="O189" s="126">
        <v>1</v>
      </c>
      <c r="P189" s="126">
        <v>1</v>
      </c>
      <c r="Q189" s="126">
        <v>0</v>
      </c>
      <c r="R189" s="126"/>
      <c r="S189" s="126">
        <v>0</v>
      </c>
      <c r="T189" s="124"/>
      <c r="U189" s="126">
        <v>1</v>
      </c>
      <c r="V189" s="126">
        <v>1</v>
      </c>
      <c r="W189" s="126">
        <v>0</v>
      </c>
      <c r="X189" s="126">
        <v>0</v>
      </c>
      <c r="Y189" s="126">
        <v>0</v>
      </c>
      <c r="Z189" s="124">
        <v>0</v>
      </c>
      <c r="AA189" s="126">
        <v>0</v>
      </c>
      <c r="AB189" s="124">
        <v>0</v>
      </c>
      <c r="AC189" s="126">
        <v>0</v>
      </c>
      <c r="AD189" s="124">
        <v>0</v>
      </c>
      <c r="AE189" s="126">
        <v>1</v>
      </c>
      <c r="AF189" s="124">
        <v>0</v>
      </c>
      <c r="AG189" s="126">
        <v>0</v>
      </c>
      <c r="AH189" s="126">
        <v>0</v>
      </c>
      <c r="AI189" s="126"/>
      <c r="AJ189" s="126"/>
      <c r="AK189" s="103">
        <v>10</v>
      </c>
    </row>
    <row r="190" spans="1:37" s="127" customFormat="1" ht="15.75">
      <c r="A190" s="120">
        <v>188</v>
      </c>
      <c r="B190" s="126" t="s">
        <v>784</v>
      </c>
      <c r="C190" s="129" t="s">
        <v>720</v>
      </c>
      <c r="D190" s="122" t="str">
        <f>"9040175"</f>
        <v>9040175</v>
      </c>
      <c r="E190" s="129" t="s">
        <v>467</v>
      </c>
      <c r="F190" s="126" t="s">
        <v>25</v>
      </c>
      <c r="G190" s="129" t="s">
        <v>787</v>
      </c>
      <c r="H190" s="126" t="s">
        <v>813</v>
      </c>
      <c r="I190" s="126">
        <v>0</v>
      </c>
      <c r="J190" s="126">
        <v>0</v>
      </c>
      <c r="K190" s="126">
        <v>1</v>
      </c>
      <c r="L190" s="124">
        <v>1</v>
      </c>
      <c r="M190" s="126">
        <v>1</v>
      </c>
      <c r="N190" s="126">
        <v>1</v>
      </c>
      <c r="O190" s="126">
        <v>1</v>
      </c>
      <c r="P190" s="126"/>
      <c r="Q190" s="126">
        <v>0</v>
      </c>
      <c r="R190" s="126"/>
      <c r="S190" s="126">
        <v>0</v>
      </c>
      <c r="T190" s="124"/>
      <c r="U190" s="126">
        <v>0</v>
      </c>
      <c r="V190" s="126"/>
      <c r="W190" s="126">
        <v>0</v>
      </c>
      <c r="X190" s="126">
        <v>0</v>
      </c>
      <c r="Y190" s="126">
        <v>0</v>
      </c>
      <c r="Z190" s="124">
        <v>0</v>
      </c>
      <c r="AA190" s="126">
        <v>0</v>
      </c>
      <c r="AB190" s="124">
        <v>0</v>
      </c>
      <c r="AC190" s="126">
        <v>0</v>
      </c>
      <c r="AD190" s="124">
        <v>0</v>
      </c>
      <c r="AE190" s="126">
        <v>1</v>
      </c>
      <c r="AF190" s="124">
        <v>0</v>
      </c>
      <c r="AG190" s="126">
        <v>0</v>
      </c>
      <c r="AH190" s="126">
        <v>0</v>
      </c>
      <c r="AI190" s="126"/>
      <c r="AJ190" s="126"/>
      <c r="AK190" s="103">
        <v>5</v>
      </c>
    </row>
    <row r="191" spans="1:37" s="127" customFormat="1" ht="15.75">
      <c r="A191" s="120">
        <v>189</v>
      </c>
      <c r="B191" s="126" t="s">
        <v>784</v>
      </c>
      <c r="C191" s="129" t="s">
        <v>730</v>
      </c>
      <c r="D191" s="122" t="str">
        <f>"9040186"</f>
        <v>9040186</v>
      </c>
      <c r="E191" s="129" t="s">
        <v>467</v>
      </c>
      <c r="F191" s="126" t="s">
        <v>25</v>
      </c>
      <c r="G191" s="129" t="s">
        <v>787</v>
      </c>
      <c r="H191" s="126" t="s">
        <v>819</v>
      </c>
      <c r="I191" s="126"/>
      <c r="J191" s="126"/>
      <c r="K191" s="126"/>
      <c r="L191" s="124"/>
      <c r="M191" s="126"/>
      <c r="N191" s="126"/>
      <c r="O191" s="126"/>
      <c r="P191" s="126"/>
      <c r="Q191" s="126"/>
      <c r="R191" s="126"/>
      <c r="S191" s="126"/>
      <c r="T191" s="124"/>
      <c r="U191" s="126"/>
      <c r="V191" s="126"/>
      <c r="W191" s="126"/>
      <c r="X191" s="126"/>
      <c r="Y191" s="126"/>
      <c r="Z191" s="124">
        <v>0</v>
      </c>
      <c r="AA191" s="126"/>
      <c r="AB191" s="124">
        <v>0</v>
      </c>
      <c r="AC191" s="126"/>
      <c r="AD191" s="124">
        <v>0</v>
      </c>
      <c r="AE191" s="126"/>
      <c r="AF191" s="124">
        <v>0</v>
      </c>
      <c r="AG191" s="126"/>
      <c r="AH191" s="126"/>
      <c r="AI191" s="126"/>
      <c r="AJ191" s="126"/>
      <c r="AK191" s="103">
        <v>8</v>
      </c>
    </row>
    <row r="192" spans="1:37" s="127" customFormat="1" ht="15.75">
      <c r="A192" s="120">
        <v>190</v>
      </c>
      <c r="B192" s="126" t="s">
        <v>784</v>
      </c>
      <c r="C192" s="129" t="s">
        <v>715</v>
      </c>
      <c r="D192" s="122" t="str">
        <f>"9040197"</f>
        <v>9040197</v>
      </c>
      <c r="E192" s="129" t="s">
        <v>467</v>
      </c>
      <c r="F192" s="126" t="s">
        <v>25</v>
      </c>
      <c r="G192" s="129" t="s">
        <v>787</v>
      </c>
      <c r="H192" s="126" t="s">
        <v>808</v>
      </c>
      <c r="I192" s="126"/>
      <c r="J192" s="126"/>
      <c r="K192" s="126"/>
      <c r="L192" s="124"/>
      <c r="M192" s="126"/>
      <c r="N192" s="126"/>
      <c r="O192" s="126"/>
      <c r="P192" s="126"/>
      <c r="Q192" s="126"/>
      <c r="R192" s="126"/>
      <c r="S192" s="126"/>
      <c r="T192" s="124"/>
      <c r="U192" s="126"/>
      <c r="V192" s="126"/>
      <c r="W192" s="126"/>
      <c r="X192" s="126"/>
      <c r="Y192" s="126"/>
      <c r="Z192" s="124">
        <v>0</v>
      </c>
      <c r="AA192" s="126"/>
      <c r="AB192" s="124">
        <v>0</v>
      </c>
      <c r="AC192" s="126"/>
      <c r="AD192" s="124">
        <v>0</v>
      </c>
      <c r="AE192" s="126"/>
      <c r="AF192" s="124">
        <v>0</v>
      </c>
      <c r="AG192" s="126"/>
      <c r="AH192" s="126"/>
      <c r="AI192" s="126"/>
      <c r="AJ192" s="126"/>
      <c r="AK192" s="103">
        <v>0</v>
      </c>
    </row>
    <row r="193" spans="1:37" s="127" customFormat="1" ht="15.75">
      <c r="A193" s="120">
        <v>191</v>
      </c>
      <c r="B193" s="126" t="s">
        <v>784</v>
      </c>
      <c r="C193" s="129" t="s">
        <v>734</v>
      </c>
      <c r="D193" s="122" t="str">
        <f>"9040267"</f>
        <v>9040267</v>
      </c>
      <c r="E193" s="129" t="s">
        <v>467</v>
      </c>
      <c r="F193" s="126" t="s">
        <v>25</v>
      </c>
      <c r="G193" s="129" t="s">
        <v>787</v>
      </c>
      <c r="H193" s="126" t="s">
        <v>824</v>
      </c>
      <c r="I193" s="126"/>
      <c r="J193" s="126"/>
      <c r="K193" s="126"/>
      <c r="L193" s="124"/>
      <c r="M193" s="126"/>
      <c r="N193" s="126"/>
      <c r="O193" s="126"/>
      <c r="P193" s="126"/>
      <c r="Q193" s="126"/>
      <c r="R193" s="126"/>
      <c r="S193" s="126"/>
      <c r="T193" s="124"/>
      <c r="U193" s="126"/>
      <c r="V193" s="126"/>
      <c r="W193" s="126"/>
      <c r="X193" s="126"/>
      <c r="Y193" s="126"/>
      <c r="Z193" s="124">
        <v>0</v>
      </c>
      <c r="AA193" s="126"/>
      <c r="AB193" s="124">
        <v>0</v>
      </c>
      <c r="AC193" s="126"/>
      <c r="AD193" s="124">
        <v>0</v>
      </c>
      <c r="AE193" s="126"/>
      <c r="AF193" s="124">
        <v>0</v>
      </c>
      <c r="AG193" s="126"/>
      <c r="AH193" s="126"/>
      <c r="AI193" s="126"/>
      <c r="AJ193" s="126"/>
      <c r="AK193" s="103">
        <v>0</v>
      </c>
    </row>
    <row r="194" spans="1:37" s="127" customFormat="1" ht="15.75">
      <c r="A194" s="120">
        <v>192</v>
      </c>
      <c r="B194" s="126" t="s">
        <v>784</v>
      </c>
      <c r="C194" s="129" t="s">
        <v>694</v>
      </c>
      <c r="D194" s="122" t="str">
        <f>"9041000"</f>
        <v>9041000</v>
      </c>
      <c r="E194" s="129" t="s">
        <v>467</v>
      </c>
      <c r="F194" s="126" t="s">
        <v>25</v>
      </c>
      <c r="G194" s="129" t="s">
        <v>787</v>
      </c>
      <c r="H194" s="126" t="s">
        <v>794</v>
      </c>
      <c r="I194" s="126"/>
      <c r="J194" s="126"/>
      <c r="K194" s="126"/>
      <c r="L194" s="124"/>
      <c r="M194" s="126"/>
      <c r="N194" s="126"/>
      <c r="O194" s="126"/>
      <c r="P194" s="126"/>
      <c r="Q194" s="126"/>
      <c r="R194" s="126"/>
      <c r="S194" s="126"/>
      <c r="T194" s="124"/>
      <c r="U194" s="126"/>
      <c r="V194" s="126"/>
      <c r="W194" s="126"/>
      <c r="X194" s="126"/>
      <c r="Y194" s="126"/>
      <c r="Z194" s="124">
        <v>0</v>
      </c>
      <c r="AA194" s="126"/>
      <c r="AB194" s="124">
        <v>0</v>
      </c>
      <c r="AC194" s="126"/>
      <c r="AD194" s="124">
        <v>0</v>
      </c>
      <c r="AE194" s="126"/>
      <c r="AF194" s="124">
        <v>0</v>
      </c>
      <c r="AG194" s="126"/>
      <c r="AH194" s="126"/>
      <c r="AI194" s="126"/>
      <c r="AJ194" s="126"/>
      <c r="AK194" s="103"/>
    </row>
    <row r="195" spans="1:37" s="127" customFormat="1" ht="15.75">
      <c r="A195" s="120">
        <v>193</v>
      </c>
      <c r="B195" s="126" t="s">
        <v>784</v>
      </c>
      <c r="C195" s="129" t="s">
        <v>692</v>
      </c>
      <c r="D195" s="122" t="str">
        <f>"9040013"</f>
        <v>9040013</v>
      </c>
      <c r="E195" s="129" t="s">
        <v>467</v>
      </c>
      <c r="F195" s="126" t="s">
        <v>25</v>
      </c>
      <c r="G195" s="129" t="s">
        <v>786</v>
      </c>
      <c r="H195" s="126" t="s">
        <v>792</v>
      </c>
      <c r="I195" s="126"/>
      <c r="J195" s="126"/>
      <c r="K195" s="126">
        <v>1</v>
      </c>
      <c r="L195" s="124">
        <v>1</v>
      </c>
      <c r="M195" s="126">
        <v>1</v>
      </c>
      <c r="N195" s="126">
        <v>1</v>
      </c>
      <c r="O195" s="126">
        <v>1</v>
      </c>
      <c r="P195" s="126"/>
      <c r="Q195" s="126">
        <v>1</v>
      </c>
      <c r="R195" s="126">
        <v>1</v>
      </c>
      <c r="S195" s="126">
        <v>1</v>
      </c>
      <c r="T195" s="124"/>
      <c r="U195" s="126">
        <v>1</v>
      </c>
      <c r="V195" s="126"/>
      <c r="W195" s="126">
        <v>1</v>
      </c>
      <c r="X195" s="126">
        <v>1</v>
      </c>
      <c r="Y195" s="126"/>
      <c r="Z195" s="124">
        <v>0</v>
      </c>
      <c r="AA195" s="126">
        <v>0</v>
      </c>
      <c r="AB195" s="124">
        <v>0</v>
      </c>
      <c r="AC195" s="126">
        <v>0</v>
      </c>
      <c r="AD195" s="124">
        <v>0</v>
      </c>
      <c r="AE195" s="126">
        <v>1</v>
      </c>
      <c r="AF195" s="124">
        <v>0</v>
      </c>
      <c r="AG195" s="126">
        <v>0</v>
      </c>
      <c r="AH195" s="126">
        <v>0</v>
      </c>
      <c r="AI195" s="126" t="s">
        <v>834</v>
      </c>
      <c r="AJ195" s="126" t="s">
        <v>834</v>
      </c>
      <c r="AK195" s="103">
        <v>20</v>
      </c>
    </row>
    <row r="196" spans="1:37" s="127" customFormat="1" ht="15.75">
      <c r="A196" s="120">
        <v>194</v>
      </c>
      <c r="B196" s="126" t="s">
        <v>784</v>
      </c>
      <c r="C196" s="129" t="s">
        <v>712</v>
      </c>
      <c r="D196" s="122" t="str">
        <f>"9040057"</f>
        <v>9040057</v>
      </c>
      <c r="E196" s="129" t="s">
        <v>467</v>
      </c>
      <c r="F196" s="126" t="s">
        <v>25</v>
      </c>
      <c r="G196" s="129" t="s">
        <v>786</v>
      </c>
      <c r="H196" s="126" t="s">
        <v>806</v>
      </c>
      <c r="I196" s="126"/>
      <c r="J196" s="126"/>
      <c r="K196" s="126"/>
      <c r="L196" s="124"/>
      <c r="M196" s="126"/>
      <c r="N196" s="126"/>
      <c r="O196" s="126"/>
      <c r="P196" s="126"/>
      <c r="Q196" s="126"/>
      <c r="R196" s="126"/>
      <c r="S196" s="126"/>
      <c r="T196" s="124"/>
      <c r="U196" s="126"/>
      <c r="V196" s="126"/>
      <c r="W196" s="126"/>
      <c r="X196" s="126"/>
      <c r="Y196" s="126"/>
      <c r="Z196" s="124">
        <v>0</v>
      </c>
      <c r="AA196" s="126"/>
      <c r="AB196" s="124">
        <v>0</v>
      </c>
      <c r="AC196" s="126"/>
      <c r="AD196" s="124">
        <v>0</v>
      </c>
      <c r="AE196" s="126"/>
      <c r="AF196" s="124">
        <v>0</v>
      </c>
      <c r="AG196" s="126"/>
      <c r="AH196" s="126"/>
      <c r="AI196" s="126"/>
      <c r="AJ196" s="126"/>
      <c r="AK196" s="103"/>
    </row>
    <row r="197" spans="1:37" s="127" customFormat="1" ht="15.75">
      <c r="A197" s="120">
        <v>195</v>
      </c>
      <c r="B197" s="126" t="s">
        <v>784</v>
      </c>
      <c r="C197" s="129" t="s">
        <v>713</v>
      </c>
      <c r="D197" s="122" t="str">
        <f>"9040059"</f>
        <v>9040059</v>
      </c>
      <c r="E197" s="129" t="s">
        <v>467</v>
      </c>
      <c r="F197" s="126" t="s">
        <v>25</v>
      </c>
      <c r="G197" s="129" t="s">
        <v>786</v>
      </c>
      <c r="H197" s="126" t="s">
        <v>807</v>
      </c>
      <c r="I197" s="126">
        <v>8</v>
      </c>
      <c r="J197" s="126">
        <v>1</v>
      </c>
      <c r="K197" s="126">
        <v>4</v>
      </c>
      <c r="L197" s="124">
        <v>1</v>
      </c>
      <c r="M197" s="126">
        <v>0</v>
      </c>
      <c r="N197" s="126"/>
      <c r="O197" s="126">
        <v>0</v>
      </c>
      <c r="P197" s="126"/>
      <c r="Q197" s="126">
        <v>1</v>
      </c>
      <c r="R197" s="126">
        <v>1</v>
      </c>
      <c r="S197" s="126">
        <v>0</v>
      </c>
      <c r="T197" s="124"/>
      <c r="U197" s="126">
        <v>0</v>
      </c>
      <c r="V197" s="126"/>
      <c r="W197" s="126">
        <v>0</v>
      </c>
      <c r="X197" s="126">
        <v>0</v>
      </c>
      <c r="Y197" s="126">
        <v>0</v>
      </c>
      <c r="Z197" s="124">
        <v>0</v>
      </c>
      <c r="AA197" s="126">
        <v>0</v>
      </c>
      <c r="AB197" s="124">
        <v>0</v>
      </c>
      <c r="AC197" s="126">
        <v>0</v>
      </c>
      <c r="AD197" s="124">
        <v>0</v>
      </c>
      <c r="AE197" s="126">
        <v>2</v>
      </c>
      <c r="AF197" s="124">
        <v>0</v>
      </c>
      <c r="AG197" s="126">
        <v>0</v>
      </c>
      <c r="AH197" s="126">
        <v>0</v>
      </c>
      <c r="AI197" s="126"/>
      <c r="AJ197" s="126"/>
      <c r="AK197" s="103">
        <v>86</v>
      </c>
    </row>
    <row r="198" spans="1:37" s="127" customFormat="1" ht="15.75">
      <c r="A198" s="120">
        <v>196</v>
      </c>
      <c r="B198" s="126" t="s">
        <v>784</v>
      </c>
      <c r="C198" s="129" t="s">
        <v>717</v>
      </c>
      <c r="D198" s="122" t="str">
        <f>"9040063"</f>
        <v>9040063</v>
      </c>
      <c r="E198" s="129" t="s">
        <v>467</v>
      </c>
      <c r="F198" s="126" t="s">
        <v>25</v>
      </c>
      <c r="G198" s="129" t="s">
        <v>786</v>
      </c>
      <c r="H198" s="126" t="s">
        <v>810</v>
      </c>
      <c r="I198" s="126"/>
      <c r="J198" s="126"/>
      <c r="K198" s="126"/>
      <c r="L198" s="124"/>
      <c r="M198" s="126"/>
      <c r="N198" s="126"/>
      <c r="O198" s="126"/>
      <c r="P198" s="126"/>
      <c r="Q198" s="126"/>
      <c r="R198" s="126"/>
      <c r="S198" s="126"/>
      <c r="T198" s="124"/>
      <c r="U198" s="126"/>
      <c r="V198" s="126"/>
      <c r="W198" s="126"/>
      <c r="X198" s="126"/>
      <c r="Y198" s="126"/>
      <c r="Z198" s="124">
        <v>0</v>
      </c>
      <c r="AA198" s="126"/>
      <c r="AB198" s="124">
        <v>0</v>
      </c>
      <c r="AC198" s="126"/>
      <c r="AD198" s="124">
        <v>0</v>
      </c>
      <c r="AE198" s="126"/>
      <c r="AF198" s="124">
        <v>0</v>
      </c>
      <c r="AG198" s="126"/>
      <c r="AH198" s="126"/>
      <c r="AI198" s="126"/>
      <c r="AJ198" s="126"/>
      <c r="AK198" s="103"/>
    </row>
    <row r="199" spans="1:37" s="127" customFormat="1" ht="15.75">
      <c r="A199" s="120">
        <v>197</v>
      </c>
      <c r="B199" s="126" t="s">
        <v>784</v>
      </c>
      <c r="C199" s="129" t="s">
        <v>718</v>
      </c>
      <c r="D199" s="122" t="str">
        <f>"9040070"</f>
        <v>9040070</v>
      </c>
      <c r="E199" s="129" t="s">
        <v>467</v>
      </c>
      <c r="F199" s="126" t="s">
        <v>25</v>
      </c>
      <c r="G199" s="129" t="s">
        <v>786</v>
      </c>
      <c r="H199" s="126" t="s">
        <v>811</v>
      </c>
      <c r="I199" s="126">
        <v>1</v>
      </c>
      <c r="J199" s="126">
        <v>1</v>
      </c>
      <c r="K199" s="126">
        <v>1</v>
      </c>
      <c r="L199" s="124">
        <v>1</v>
      </c>
      <c r="M199" s="126">
        <v>1</v>
      </c>
      <c r="N199" s="126">
        <v>1</v>
      </c>
      <c r="O199" s="126">
        <v>1</v>
      </c>
      <c r="P199" s="126"/>
      <c r="Q199" s="126">
        <v>1</v>
      </c>
      <c r="R199" s="126">
        <v>1</v>
      </c>
      <c r="S199" s="126">
        <v>1</v>
      </c>
      <c r="T199" s="124"/>
      <c r="U199" s="126">
        <v>1</v>
      </c>
      <c r="V199" s="126"/>
      <c r="W199" s="126">
        <v>3</v>
      </c>
      <c r="X199" s="126">
        <v>3</v>
      </c>
      <c r="Y199" s="126"/>
      <c r="Z199" s="124">
        <v>0</v>
      </c>
      <c r="AA199" s="126">
        <v>0</v>
      </c>
      <c r="AB199" s="124">
        <v>0</v>
      </c>
      <c r="AC199" s="126">
        <v>0</v>
      </c>
      <c r="AD199" s="124">
        <v>0</v>
      </c>
      <c r="AE199" s="126">
        <v>1</v>
      </c>
      <c r="AF199" s="124">
        <v>0</v>
      </c>
      <c r="AG199" s="126">
        <v>0</v>
      </c>
      <c r="AH199" s="126">
        <v>0</v>
      </c>
      <c r="AI199" s="126" t="s">
        <v>834</v>
      </c>
      <c r="AJ199" s="126" t="s">
        <v>834</v>
      </c>
      <c r="AK199" s="103">
        <v>7</v>
      </c>
    </row>
    <row r="200" spans="1:37" s="127" customFormat="1" ht="15.75">
      <c r="A200" s="120">
        <v>198</v>
      </c>
      <c r="B200" s="126" t="s">
        <v>784</v>
      </c>
      <c r="C200" s="129" t="s">
        <v>722</v>
      </c>
      <c r="D200" s="122" t="str">
        <f>"9040076"</f>
        <v>9040076</v>
      </c>
      <c r="E200" s="129" t="s">
        <v>467</v>
      </c>
      <c r="F200" s="126" t="s">
        <v>25</v>
      </c>
      <c r="G200" s="129" t="s">
        <v>786</v>
      </c>
      <c r="H200" s="126" t="s">
        <v>55</v>
      </c>
      <c r="I200" s="126">
        <v>1</v>
      </c>
      <c r="J200" s="126">
        <v>1</v>
      </c>
      <c r="K200" s="126">
        <v>5</v>
      </c>
      <c r="L200" s="124">
        <v>1</v>
      </c>
      <c r="M200" s="126">
        <v>1</v>
      </c>
      <c r="N200" s="126">
        <v>1</v>
      </c>
      <c r="O200" s="126">
        <v>1</v>
      </c>
      <c r="P200" s="126"/>
      <c r="Q200" s="126">
        <v>1</v>
      </c>
      <c r="R200" s="126">
        <v>1</v>
      </c>
      <c r="S200" s="126">
        <v>0</v>
      </c>
      <c r="T200" s="124"/>
      <c r="U200" s="126">
        <v>0</v>
      </c>
      <c r="V200" s="126"/>
      <c r="W200" s="126">
        <v>0</v>
      </c>
      <c r="X200" s="126">
        <v>0</v>
      </c>
      <c r="Y200" s="126">
        <v>0</v>
      </c>
      <c r="Z200" s="124">
        <v>0</v>
      </c>
      <c r="AA200" s="126">
        <v>0</v>
      </c>
      <c r="AB200" s="124">
        <v>0</v>
      </c>
      <c r="AC200" s="126">
        <v>0</v>
      </c>
      <c r="AD200" s="124">
        <v>0</v>
      </c>
      <c r="AE200" s="126">
        <v>2</v>
      </c>
      <c r="AF200" s="124">
        <v>0</v>
      </c>
      <c r="AG200" s="126">
        <v>0</v>
      </c>
      <c r="AH200" s="126">
        <v>0</v>
      </c>
      <c r="AI200" s="126"/>
      <c r="AJ200" s="126"/>
      <c r="AK200" s="103">
        <v>93</v>
      </c>
    </row>
    <row r="201" spans="1:37" s="127" customFormat="1" ht="15.75">
      <c r="A201" s="120">
        <v>199</v>
      </c>
      <c r="B201" s="126" t="s">
        <v>784</v>
      </c>
      <c r="C201" s="129" t="s">
        <v>693</v>
      </c>
      <c r="D201" s="122" t="str">
        <f>"9040081"</f>
        <v>9040081</v>
      </c>
      <c r="E201" s="129" t="s">
        <v>467</v>
      </c>
      <c r="F201" s="126" t="s">
        <v>25</v>
      </c>
      <c r="G201" s="129" t="s">
        <v>786</v>
      </c>
      <c r="H201" s="126" t="s">
        <v>793</v>
      </c>
      <c r="I201" s="126">
        <v>0</v>
      </c>
      <c r="J201" s="126">
        <v>0</v>
      </c>
      <c r="K201" s="126">
        <v>7</v>
      </c>
      <c r="L201" s="124">
        <v>1</v>
      </c>
      <c r="M201" s="126">
        <v>0</v>
      </c>
      <c r="N201" s="126"/>
      <c r="O201" s="126">
        <v>0</v>
      </c>
      <c r="P201" s="126"/>
      <c r="Q201" s="126">
        <v>0</v>
      </c>
      <c r="R201" s="126"/>
      <c r="S201" s="126">
        <v>0</v>
      </c>
      <c r="T201" s="124"/>
      <c r="U201" s="126">
        <v>1</v>
      </c>
      <c r="V201" s="126">
        <v>1</v>
      </c>
      <c r="W201" s="126">
        <v>0</v>
      </c>
      <c r="X201" s="126">
        <v>0</v>
      </c>
      <c r="Y201" s="126">
        <v>0</v>
      </c>
      <c r="Z201" s="124">
        <v>0</v>
      </c>
      <c r="AA201" s="126">
        <v>0</v>
      </c>
      <c r="AB201" s="124">
        <v>0</v>
      </c>
      <c r="AC201" s="126">
        <v>0</v>
      </c>
      <c r="AD201" s="124">
        <v>0</v>
      </c>
      <c r="AE201" s="126">
        <v>6</v>
      </c>
      <c r="AF201" s="124">
        <v>0</v>
      </c>
      <c r="AG201" s="126">
        <v>0</v>
      </c>
      <c r="AH201" s="126">
        <v>0</v>
      </c>
      <c r="AI201" s="126"/>
      <c r="AJ201" s="126"/>
      <c r="AK201" s="103">
        <v>99</v>
      </c>
    </row>
    <row r="202" spans="1:37" s="127" customFormat="1" ht="15.75">
      <c r="A202" s="120">
        <v>200</v>
      </c>
      <c r="B202" s="126" t="s">
        <v>784</v>
      </c>
      <c r="C202" s="129" t="s">
        <v>726</v>
      </c>
      <c r="D202" s="122" t="str">
        <f>"9040083"</f>
        <v>9040083</v>
      </c>
      <c r="E202" s="129" t="s">
        <v>467</v>
      </c>
      <c r="F202" s="126" t="s">
        <v>25</v>
      </c>
      <c r="G202" s="129" t="s">
        <v>786</v>
      </c>
      <c r="H202" s="126" t="s">
        <v>56</v>
      </c>
      <c r="I202" s="126">
        <v>2</v>
      </c>
      <c r="J202" s="126">
        <v>1</v>
      </c>
      <c r="K202" s="126">
        <v>2</v>
      </c>
      <c r="L202" s="124"/>
      <c r="M202" s="126">
        <v>0</v>
      </c>
      <c r="N202" s="126"/>
      <c r="O202" s="126">
        <v>0</v>
      </c>
      <c r="P202" s="126"/>
      <c r="Q202" s="126">
        <v>0</v>
      </c>
      <c r="R202" s="126"/>
      <c r="S202" s="126">
        <v>0</v>
      </c>
      <c r="T202" s="124"/>
      <c r="U202" s="126">
        <v>1</v>
      </c>
      <c r="V202" s="126">
        <v>1</v>
      </c>
      <c r="W202" s="126">
        <v>0</v>
      </c>
      <c r="X202" s="126">
        <v>0</v>
      </c>
      <c r="Y202" s="126">
        <v>0</v>
      </c>
      <c r="Z202" s="124">
        <v>0</v>
      </c>
      <c r="AA202" s="126">
        <v>0</v>
      </c>
      <c r="AB202" s="124">
        <v>0</v>
      </c>
      <c r="AC202" s="126">
        <v>0</v>
      </c>
      <c r="AD202" s="124">
        <v>0</v>
      </c>
      <c r="AE202" s="126">
        <v>1</v>
      </c>
      <c r="AF202" s="124">
        <v>0</v>
      </c>
      <c r="AG202" s="126">
        <v>0</v>
      </c>
      <c r="AH202" s="126">
        <v>0</v>
      </c>
      <c r="AI202" s="126"/>
      <c r="AJ202" s="126"/>
      <c r="AK202" s="103">
        <v>49</v>
      </c>
    </row>
    <row r="203" spans="1:37" s="127" customFormat="1" ht="15.75">
      <c r="A203" s="120">
        <v>201</v>
      </c>
      <c r="B203" s="126" t="s">
        <v>784</v>
      </c>
      <c r="C203" s="129" t="s">
        <v>699</v>
      </c>
      <c r="D203" s="122" t="str">
        <f>"9040214"</f>
        <v>9040214</v>
      </c>
      <c r="E203" s="129" t="s">
        <v>467</v>
      </c>
      <c r="F203" s="126" t="s">
        <v>25</v>
      </c>
      <c r="G203" s="129" t="s">
        <v>786</v>
      </c>
      <c r="H203" s="126" t="s">
        <v>498</v>
      </c>
      <c r="I203" s="126">
        <v>1</v>
      </c>
      <c r="J203" s="126">
        <v>1</v>
      </c>
      <c r="K203" s="126">
        <v>1</v>
      </c>
      <c r="L203" s="124">
        <v>1</v>
      </c>
      <c r="M203" s="126">
        <v>0</v>
      </c>
      <c r="N203" s="126"/>
      <c r="O203" s="126">
        <v>1</v>
      </c>
      <c r="P203" s="126">
        <v>1</v>
      </c>
      <c r="Q203" s="126">
        <v>1</v>
      </c>
      <c r="R203" s="126">
        <v>1</v>
      </c>
      <c r="S203" s="126">
        <v>0</v>
      </c>
      <c r="T203" s="124"/>
      <c r="U203" s="126">
        <v>0</v>
      </c>
      <c r="V203" s="126"/>
      <c r="W203" s="126">
        <v>1</v>
      </c>
      <c r="X203" s="126">
        <v>1</v>
      </c>
      <c r="Y203" s="126">
        <v>0</v>
      </c>
      <c r="Z203" s="124">
        <v>0</v>
      </c>
      <c r="AA203" s="126">
        <v>0</v>
      </c>
      <c r="AB203" s="124">
        <v>0</v>
      </c>
      <c r="AC203" s="126">
        <v>0</v>
      </c>
      <c r="AD203" s="124">
        <v>0</v>
      </c>
      <c r="AE203" s="126">
        <v>0</v>
      </c>
      <c r="AF203" s="124">
        <v>0</v>
      </c>
      <c r="AG203" s="126">
        <v>0</v>
      </c>
      <c r="AH203" s="126">
        <v>0</v>
      </c>
      <c r="AI203" s="126"/>
      <c r="AJ203" s="126"/>
      <c r="AK203" s="103">
        <v>10</v>
      </c>
    </row>
    <row r="204" spans="1:37" s="127" customFormat="1" ht="15.75">
      <c r="A204" s="120">
        <v>202</v>
      </c>
      <c r="B204" s="126" t="s">
        <v>784</v>
      </c>
      <c r="C204" s="129" t="s">
        <v>736</v>
      </c>
      <c r="D204" s="122" t="str">
        <f>"9040003"</f>
        <v>9040003</v>
      </c>
      <c r="E204" s="129" t="s">
        <v>468</v>
      </c>
      <c r="F204" s="126" t="s">
        <v>25</v>
      </c>
      <c r="G204" s="129" t="s">
        <v>785</v>
      </c>
      <c r="H204" s="126" t="s">
        <v>25</v>
      </c>
      <c r="I204" s="126">
        <v>2</v>
      </c>
      <c r="J204" s="126">
        <v>1</v>
      </c>
      <c r="K204" s="126">
        <v>2</v>
      </c>
      <c r="L204" s="124">
        <v>1</v>
      </c>
      <c r="M204" s="126">
        <v>1</v>
      </c>
      <c r="N204" s="126">
        <v>1</v>
      </c>
      <c r="O204" s="126">
        <v>1</v>
      </c>
      <c r="P204" s="126"/>
      <c r="Q204" s="126">
        <v>1</v>
      </c>
      <c r="R204" s="126"/>
      <c r="S204" s="126">
        <v>0</v>
      </c>
      <c r="T204" s="124"/>
      <c r="U204" s="126">
        <v>1</v>
      </c>
      <c r="V204" s="126">
        <v>1</v>
      </c>
      <c r="W204" s="126">
        <v>2</v>
      </c>
      <c r="X204" s="126">
        <v>2</v>
      </c>
      <c r="Y204" s="126">
        <v>1</v>
      </c>
      <c r="Z204" s="124">
        <v>0</v>
      </c>
      <c r="AA204" s="126">
        <v>0</v>
      </c>
      <c r="AB204" s="124"/>
      <c r="AC204" s="126">
        <v>0</v>
      </c>
      <c r="AD204" s="124">
        <v>0</v>
      </c>
      <c r="AE204" s="126">
        <v>2</v>
      </c>
      <c r="AF204" s="124">
        <v>0</v>
      </c>
      <c r="AG204" s="126">
        <v>2</v>
      </c>
      <c r="AH204" s="126">
        <v>2</v>
      </c>
      <c r="AI204" s="126"/>
      <c r="AJ204" s="126"/>
      <c r="AK204" s="103">
        <v>49</v>
      </c>
    </row>
    <row r="205" spans="1:37" s="127" customFormat="1" ht="15.75">
      <c r="A205" s="120">
        <v>203</v>
      </c>
      <c r="B205" s="126" t="s">
        <v>784</v>
      </c>
      <c r="C205" s="129" t="s">
        <v>741</v>
      </c>
      <c r="D205" s="122" t="str">
        <f>"9040005"</f>
        <v>9040005</v>
      </c>
      <c r="E205" s="129" t="s">
        <v>468</v>
      </c>
      <c r="F205" s="126" t="s">
        <v>25</v>
      </c>
      <c r="G205" s="129" t="s">
        <v>785</v>
      </c>
      <c r="H205" s="126" t="s">
        <v>25</v>
      </c>
      <c r="I205" s="126"/>
      <c r="J205" s="126">
        <v>0</v>
      </c>
      <c r="K205" s="126"/>
      <c r="L205" s="124"/>
      <c r="M205" s="126"/>
      <c r="N205" s="126">
        <v>0</v>
      </c>
      <c r="O205" s="126"/>
      <c r="P205" s="126"/>
      <c r="Q205" s="126"/>
      <c r="R205" s="126"/>
      <c r="S205" s="126"/>
      <c r="T205" s="124"/>
      <c r="U205" s="126"/>
      <c r="V205" s="126"/>
      <c r="W205" s="126"/>
      <c r="X205" s="126"/>
      <c r="Y205" s="126"/>
      <c r="Z205" s="124">
        <v>0</v>
      </c>
      <c r="AA205" s="126"/>
      <c r="AB205" s="124"/>
      <c r="AC205" s="126"/>
      <c r="AD205" s="124">
        <v>0</v>
      </c>
      <c r="AE205" s="126"/>
      <c r="AF205" s="124">
        <v>0</v>
      </c>
      <c r="AG205" s="126"/>
      <c r="AH205" s="126"/>
      <c r="AI205" s="126"/>
      <c r="AJ205" s="126"/>
      <c r="AK205" s="103">
        <v>25</v>
      </c>
    </row>
    <row r="206" spans="1:37" s="127" customFormat="1" ht="15.75">
      <c r="A206" s="120">
        <v>204</v>
      </c>
      <c r="B206" s="126" t="s">
        <v>784</v>
      </c>
      <c r="C206" s="129" t="s">
        <v>743</v>
      </c>
      <c r="D206" s="122" t="str">
        <f>"9040006"</f>
        <v>9040006</v>
      </c>
      <c r="E206" s="129" t="s">
        <v>468</v>
      </c>
      <c r="F206" s="126" t="s">
        <v>25</v>
      </c>
      <c r="G206" s="129" t="s">
        <v>785</v>
      </c>
      <c r="H206" s="126" t="s">
        <v>25</v>
      </c>
      <c r="I206" s="126"/>
      <c r="J206" s="126">
        <v>0</v>
      </c>
      <c r="K206" s="126"/>
      <c r="L206" s="124"/>
      <c r="M206" s="126"/>
      <c r="N206" s="126">
        <v>0</v>
      </c>
      <c r="O206" s="126"/>
      <c r="P206" s="126"/>
      <c r="Q206" s="126"/>
      <c r="R206" s="126"/>
      <c r="S206" s="126"/>
      <c r="T206" s="124"/>
      <c r="U206" s="126"/>
      <c r="V206" s="126"/>
      <c r="W206" s="126"/>
      <c r="X206" s="126"/>
      <c r="Y206" s="126"/>
      <c r="Z206" s="124">
        <v>0</v>
      </c>
      <c r="AA206" s="126"/>
      <c r="AB206" s="124"/>
      <c r="AC206" s="126"/>
      <c r="AD206" s="124">
        <v>0</v>
      </c>
      <c r="AE206" s="126"/>
      <c r="AF206" s="124">
        <v>0</v>
      </c>
      <c r="AG206" s="126"/>
      <c r="AH206" s="126"/>
      <c r="AI206" s="126"/>
      <c r="AJ206" s="126"/>
      <c r="AK206" s="103">
        <v>49</v>
      </c>
    </row>
    <row r="207" spans="1:37" s="127" customFormat="1" ht="15.75">
      <c r="A207" s="120">
        <v>205</v>
      </c>
      <c r="B207" s="126" t="s">
        <v>784</v>
      </c>
      <c r="C207" s="129" t="s">
        <v>745</v>
      </c>
      <c r="D207" s="122" t="str">
        <f>"9040009"</f>
        <v>9040009</v>
      </c>
      <c r="E207" s="129" t="s">
        <v>468</v>
      </c>
      <c r="F207" s="126" t="s">
        <v>25</v>
      </c>
      <c r="G207" s="129" t="s">
        <v>785</v>
      </c>
      <c r="H207" s="126" t="s">
        <v>25</v>
      </c>
      <c r="I207" s="126">
        <v>1</v>
      </c>
      <c r="J207" s="126">
        <v>0</v>
      </c>
      <c r="K207" s="126">
        <v>2</v>
      </c>
      <c r="L207" s="124">
        <v>1</v>
      </c>
      <c r="M207" s="126">
        <v>2</v>
      </c>
      <c r="N207" s="126">
        <v>1</v>
      </c>
      <c r="O207" s="126">
        <v>1</v>
      </c>
      <c r="P207" s="126"/>
      <c r="Q207" s="126">
        <v>1</v>
      </c>
      <c r="R207" s="126"/>
      <c r="S207" s="126">
        <v>1</v>
      </c>
      <c r="T207" s="124"/>
      <c r="U207" s="126">
        <v>1</v>
      </c>
      <c r="V207" s="126">
        <v>1</v>
      </c>
      <c r="W207" s="126">
        <v>3</v>
      </c>
      <c r="X207" s="126">
        <v>3</v>
      </c>
      <c r="Y207" s="126">
        <v>1</v>
      </c>
      <c r="Z207" s="124">
        <v>0</v>
      </c>
      <c r="AA207" s="126">
        <v>0</v>
      </c>
      <c r="AB207" s="124"/>
      <c r="AC207" s="126">
        <v>0</v>
      </c>
      <c r="AD207" s="124">
        <v>0</v>
      </c>
      <c r="AE207" s="126">
        <v>1</v>
      </c>
      <c r="AF207" s="124">
        <v>0</v>
      </c>
      <c r="AG207" s="126">
        <v>1</v>
      </c>
      <c r="AH207" s="126">
        <v>1</v>
      </c>
      <c r="AI207" s="126"/>
      <c r="AJ207" s="126"/>
      <c r="AK207" s="103">
        <v>42</v>
      </c>
    </row>
    <row r="208" spans="1:37" s="127" customFormat="1" ht="15.75">
      <c r="A208" s="120">
        <v>206</v>
      </c>
      <c r="B208" s="126" t="s">
        <v>784</v>
      </c>
      <c r="C208" s="129" t="s">
        <v>747</v>
      </c>
      <c r="D208" s="122" t="str">
        <f>"9040010"</f>
        <v>9040010</v>
      </c>
      <c r="E208" s="129" t="s">
        <v>468</v>
      </c>
      <c r="F208" s="126" t="s">
        <v>25</v>
      </c>
      <c r="G208" s="129" t="s">
        <v>785</v>
      </c>
      <c r="H208" s="126" t="s">
        <v>25</v>
      </c>
      <c r="I208" s="126"/>
      <c r="J208" s="126">
        <v>0</v>
      </c>
      <c r="K208" s="126"/>
      <c r="L208" s="124"/>
      <c r="M208" s="126"/>
      <c r="N208" s="126">
        <v>0</v>
      </c>
      <c r="O208" s="126"/>
      <c r="P208" s="126"/>
      <c r="Q208" s="126"/>
      <c r="R208" s="126"/>
      <c r="S208" s="126"/>
      <c r="T208" s="124"/>
      <c r="U208" s="126"/>
      <c r="V208" s="126"/>
      <c r="W208" s="126"/>
      <c r="X208" s="126"/>
      <c r="Y208" s="126"/>
      <c r="Z208" s="124">
        <v>0</v>
      </c>
      <c r="AA208" s="126"/>
      <c r="AB208" s="124"/>
      <c r="AC208" s="126"/>
      <c r="AD208" s="124">
        <v>0</v>
      </c>
      <c r="AE208" s="126"/>
      <c r="AF208" s="124">
        <v>0</v>
      </c>
      <c r="AG208" s="126"/>
      <c r="AH208" s="126"/>
      <c r="AI208" s="126"/>
      <c r="AJ208" s="126"/>
      <c r="AK208" s="103">
        <v>51</v>
      </c>
    </row>
    <row r="209" spans="1:37" s="127" customFormat="1" ht="15.75">
      <c r="A209" s="120">
        <v>207</v>
      </c>
      <c r="B209" s="126" t="s">
        <v>784</v>
      </c>
      <c r="C209" s="129" t="s">
        <v>769</v>
      </c>
      <c r="D209" s="122" t="str">
        <f>"9040061"</f>
        <v>9040061</v>
      </c>
      <c r="E209" s="129" t="s">
        <v>468</v>
      </c>
      <c r="F209" s="126" t="s">
        <v>25</v>
      </c>
      <c r="G209" s="129" t="s">
        <v>785</v>
      </c>
      <c r="H209" s="126" t="s">
        <v>809</v>
      </c>
      <c r="I209" s="126">
        <v>2</v>
      </c>
      <c r="J209" s="126">
        <v>1</v>
      </c>
      <c r="K209" s="126">
        <v>2</v>
      </c>
      <c r="L209" s="124">
        <v>1</v>
      </c>
      <c r="M209" s="126">
        <v>0</v>
      </c>
      <c r="N209" s="126">
        <v>0</v>
      </c>
      <c r="O209" s="126">
        <v>2</v>
      </c>
      <c r="P209" s="126">
        <v>1</v>
      </c>
      <c r="Q209" s="126">
        <v>2</v>
      </c>
      <c r="R209" s="126"/>
      <c r="S209" s="126">
        <v>1</v>
      </c>
      <c r="T209" s="124"/>
      <c r="U209" s="126">
        <v>2</v>
      </c>
      <c r="V209" s="126">
        <v>1</v>
      </c>
      <c r="W209" s="126">
        <v>2</v>
      </c>
      <c r="X209" s="126">
        <v>2</v>
      </c>
      <c r="Y209" s="126">
        <v>1</v>
      </c>
      <c r="Z209" s="124">
        <v>0</v>
      </c>
      <c r="AA209" s="126">
        <v>1</v>
      </c>
      <c r="AB209" s="124"/>
      <c r="AC209" s="126">
        <v>1</v>
      </c>
      <c r="AD209" s="124">
        <v>0</v>
      </c>
      <c r="AE209" s="126">
        <v>2</v>
      </c>
      <c r="AF209" s="124">
        <v>0</v>
      </c>
      <c r="AG209" s="126">
        <v>2</v>
      </c>
      <c r="AH209" s="126">
        <v>2</v>
      </c>
      <c r="AI209" s="126"/>
      <c r="AJ209" s="126"/>
      <c r="AK209" s="103">
        <v>36</v>
      </c>
    </row>
    <row r="210" spans="1:37" s="127" customFormat="1" ht="15.75">
      <c r="A210" s="120">
        <v>208</v>
      </c>
      <c r="B210" s="126" t="s">
        <v>784</v>
      </c>
      <c r="C210" s="129" t="s">
        <v>739</v>
      </c>
      <c r="D210" s="122" t="str">
        <f>"9040102"</f>
        <v>9040102</v>
      </c>
      <c r="E210" s="129" t="s">
        <v>468</v>
      </c>
      <c r="F210" s="126" t="s">
        <v>25</v>
      </c>
      <c r="G210" s="129" t="s">
        <v>785</v>
      </c>
      <c r="H210" s="126" t="s">
        <v>25</v>
      </c>
      <c r="I210" s="126"/>
      <c r="J210" s="126">
        <v>0</v>
      </c>
      <c r="K210" s="126"/>
      <c r="L210" s="124"/>
      <c r="M210" s="126"/>
      <c r="N210" s="126">
        <v>0</v>
      </c>
      <c r="O210" s="126"/>
      <c r="P210" s="126"/>
      <c r="Q210" s="126"/>
      <c r="R210" s="126"/>
      <c r="S210" s="126"/>
      <c r="T210" s="124"/>
      <c r="U210" s="126"/>
      <c r="V210" s="126"/>
      <c r="W210" s="126"/>
      <c r="X210" s="126"/>
      <c r="Y210" s="126"/>
      <c r="Z210" s="124">
        <v>0</v>
      </c>
      <c r="AA210" s="126"/>
      <c r="AB210" s="124"/>
      <c r="AC210" s="126"/>
      <c r="AD210" s="124">
        <v>0</v>
      </c>
      <c r="AE210" s="126"/>
      <c r="AF210" s="124">
        <v>0</v>
      </c>
      <c r="AG210" s="126"/>
      <c r="AH210" s="126"/>
      <c r="AI210" s="126"/>
      <c r="AJ210" s="126"/>
      <c r="AK210" s="103">
        <v>17</v>
      </c>
    </row>
    <row r="211" spans="1:37" s="127" customFormat="1" ht="15.75">
      <c r="A211" s="120">
        <v>209</v>
      </c>
      <c r="B211" s="126" t="s">
        <v>784</v>
      </c>
      <c r="C211" s="129" t="s">
        <v>742</v>
      </c>
      <c r="D211" s="122" t="str">
        <f>"9040104"</f>
        <v>9040104</v>
      </c>
      <c r="E211" s="129" t="s">
        <v>468</v>
      </c>
      <c r="F211" s="126" t="s">
        <v>25</v>
      </c>
      <c r="G211" s="129" t="s">
        <v>785</v>
      </c>
      <c r="H211" s="126" t="s">
        <v>25</v>
      </c>
      <c r="I211" s="126"/>
      <c r="J211" s="126">
        <v>0</v>
      </c>
      <c r="K211" s="126"/>
      <c r="L211" s="124"/>
      <c r="M211" s="126"/>
      <c r="N211" s="126">
        <v>0</v>
      </c>
      <c r="O211" s="126"/>
      <c r="P211" s="126"/>
      <c r="Q211" s="126"/>
      <c r="R211" s="126"/>
      <c r="S211" s="126"/>
      <c r="T211" s="124"/>
      <c r="U211" s="126"/>
      <c r="V211" s="126"/>
      <c r="W211" s="126"/>
      <c r="X211" s="126"/>
      <c r="Y211" s="126"/>
      <c r="Z211" s="124">
        <v>0</v>
      </c>
      <c r="AA211" s="126"/>
      <c r="AB211" s="124"/>
      <c r="AC211" s="126"/>
      <c r="AD211" s="124">
        <v>0</v>
      </c>
      <c r="AE211" s="126"/>
      <c r="AF211" s="124">
        <v>0</v>
      </c>
      <c r="AG211" s="126"/>
      <c r="AH211" s="126"/>
      <c r="AI211" s="126"/>
      <c r="AJ211" s="126"/>
      <c r="AK211" s="103">
        <v>39</v>
      </c>
    </row>
    <row r="212" spans="1:37" s="127" customFormat="1" ht="15.75">
      <c r="A212" s="120">
        <v>210</v>
      </c>
      <c r="B212" s="126" t="s">
        <v>784</v>
      </c>
      <c r="C212" s="129" t="s">
        <v>746</v>
      </c>
      <c r="D212" s="122" t="str">
        <f>"9040107"</f>
        <v>9040107</v>
      </c>
      <c r="E212" s="129" t="s">
        <v>468</v>
      </c>
      <c r="F212" s="126" t="s">
        <v>25</v>
      </c>
      <c r="G212" s="129" t="s">
        <v>785</v>
      </c>
      <c r="H212" s="126" t="s">
        <v>25</v>
      </c>
      <c r="I212" s="126"/>
      <c r="J212" s="126">
        <v>0</v>
      </c>
      <c r="K212" s="126"/>
      <c r="L212" s="124"/>
      <c r="M212" s="126"/>
      <c r="N212" s="126">
        <v>0</v>
      </c>
      <c r="O212" s="126"/>
      <c r="P212" s="126"/>
      <c r="Q212" s="126"/>
      <c r="R212" s="126"/>
      <c r="S212" s="126"/>
      <c r="T212" s="124"/>
      <c r="U212" s="126"/>
      <c r="V212" s="126"/>
      <c r="W212" s="126"/>
      <c r="X212" s="126"/>
      <c r="Y212" s="126"/>
      <c r="Z212" s="124">
        <v>0</v>
      </c>
      <c r="AA212" s="126"/>
      <c r="AB212" s="124"/>
      <c r="AC212" s="126"/>
      <c r="AD212" s="124">
        <v>0</v>
      </c>
      <c r="AE212" s="126"/>
      <c r="AF212" s="124">
        <v>0</v>
      </c>
      <c r="AG212" s="126"/>
      <c r="AH212" s="126"/>
      <c r="AI212" s="126"/>
      <c r="AJ212" s="126"/>
      <c r="AK212" s="103"/>
    </row>
    <row r="213" spans="1:37" s="127" customFormat="1" ht="15.75">
      <c r="A213" s="120">
        <v>211</v>
      </c>
      <c r="B213" s="126" t="s">
        <v>784</v>
      </c>
      <c r="C213" s="129" t="s">
        <v>748</v>
      </c>
      <c r="D213" s="122" t="str">
        <f>"9040109"</f>
        <v>9040109</v>
      </c>
      <c r="E213" s="129" t="s">
        <v>468</v>
      </c>
      <c r="F213" s="126" t="s">
        <v>25</v>
      </c>
      <c r="G213" s="129" t="s">
        <v>785</v>
      </c>
      <c r="H213" s="126" t="s">
        <v>25</v>
      </c>
      <c r="I213" s="126">
        <v>1</v>
      </c>
      <c r="J213" s="126">
        <v>0</v>
      </c>
      <c r="K213" s="126">
        <v>1</v>
      </c>
      <c r="L213" s="124">
        <v>1</v>
      </c>
      <c r="M213" s="126">
        <v>1</v>
      </c>
      <c r="N213" s="126">
        <v>1</v>
      </c>
      <c r="O213" s="126">
        <v>1</v>
      </c>
      <c r="P213" s="126"/>
      <c r="Q213" s="126">
        <v>1</v>
      </c>
      <c r="R213" s="126"/>
      <c r="S213" s="126">
        <v>0</v>
      </c>
      <c r="T213" s="124"/>
      <c r="U213" s="126">
        <v>1</v>
      </c>
      <c r="V213" s="126">
        <v>1</v>
      </c>
      <c r="W213" s="126">
        <v>4</v>
      </c>
      <c r="X213" s="126">
        <v>4</v>
      </c>
      <c r="Y213" s="126">
        <v>1</v>
      </c>
      <c r="Z213" s="124">
        <v>0</v>
      </c>
      <c r="AA213" s="126">
        <v>0</v>
      </c>
      <c r="AB213" s="124"/>
      <c r="AC213" s="126">
        <v>0</v>
      </c>
      <c r="AD213" s="124">
        <v>0</v>
      </c>
      <c r="AE213" s="126">
        <v>1</v>
      </c>
      <c r="AF213" s="124">
        <v>0</v>
      </c>
      <c r="AG213" s="126">
        <v>1</v>
      </c>
      <c r="AH213" s="126">
        <v>1</v>
      </c>
      <c r="AI213" s="126"/>
      <c r="AJ213" s="126"/>
      <c r="AK213" s="103">
        <v>23</v>
      </c>
    </row>
    <row r="214" spans="1:37" s="127" customFormat="1" ht="15.75">
      <c r="A214" s="120">
        <v>212</v>
      </c>
      <c r="B214" s="126" t="s">
        <v>784</v>
      </c>
      <c r="C214" s="129" t="s">
        <v>752</v>
      </c>
      <c r="D214" s="122" t="str">
        <f>"9040112"</f>
        <v>9040112</v>
      </c>
      <c r="E214" s="129" t="s">
        <v>468</v>
      </c>
      <c r="F214" s="126" t="s">
        <v>25</v>
      </c>
      <c r="G214" s="129" t="s">
        <v>785</v>
      </c>
      <c r="H214" s="126" t="s">
        <v>791</v>
      </c>
      <c r="I214" s="126">
        <v>0</v>
      </c>
      <c r="J214" s="126">
        <v>0</v>
      </c>
      <c r="K214" s="126">
        <v>1</v>
      </c>
      <c r="L214" s="124">
        <v>1</v>
      </c>
      <c r="M214" s="126">
        <v>0</v>
      </c>
      <c r="N214" s="126">
        <v>0</v>
      </c>
      <c r="O214" s="126">
        <v>1</v>
      </c>
      <c r="P214" s="126">
        <v>1</v>
      </c>
      <c r="Q214" s="126">
        <v>0</v>
      </c>
      <c r="R214" s="126"/>
      <c r="S214" s="126">
        <v>0</v>
      </c>
      <c r="T214" s="124"/>
      <c r="U214" s="126">
        <v>1</v>
      </c>
      <c r="V214" s="126">
        <v>1</v>
      </c>
      <c r="W214" s="126">
        <v>0</v>
      </c>
      <c r="X214" s="126">
        <v>0</v>
      </c>
      <c r="Y214" s="126">
        <v>0</v>
      </c>
      <c r="Z214" s="124">
        <v>0</v>
      </c>
      <c r="AA214" s="126">
        <v>0</v>
      </c>
      <c r="AB214" s="124"/>
      <c r="AC214" s="126">
        <v>0</v>
      </c>
      <c r="AD214" s="124">
        <v>0</v>
      </c>
      <c r="AE214" s="126">
        <v>1</v>
      </c>
      <c r="AF214" s="124">
        <v>0</v>
      </c>
      <c r="AG214" s="126">
        <v>1</v>
      </c>
      <c r="AH214" s="126">
        <v>1</v>
      </c>
      <c r="AI214" s="126"/>
      <c r="AJ214" s="126"/>
      <c r="AK214" s="103">
        <v>15</v>
      </c>
    </row>
    <row r="215" spans="1:37" s="127" customFormat="1" ht="15.75">
      <c r="A215" s="120">
        <v>213</v>
      </c>
      <c r="B215" s="126" t="s">
        <v>784</v>
      </c>
      <c r="C215" s="129" t="s">
        <v>754</v>
      </c>
      <c r="D215" s="122" t="str">
        <f>"9040121"</f>
        <v>9040121</v>
      </c>
      <c r="E215" s="129" t="s">
        <v>468</v>
      </c>
      <c r="F215" s="126" t="s">
        <v>25</v>
      </c>
      <c r="G215" s="129" t="s">
        <v>785</v>
      </c>
      <c r="H215" s="126" t="s">
        <v>797</v>
      </c>
      <c r="I215" s="126">
        <v>1</v>
      </c>
      <c r="J215" s="126">
        <v>0</v>
      </c>
      <c r="K215" s="126">
        <v>0</v>
      </c>
      <c r="L215" s="124"/>
      <c r="M215" s="126">
        <v>0</v>
      </c>
      <c r="N215" s="126">
        <v>0</v>
      </c>
      <c r="O215" s="126">
        <v>0</v>
      </c>
      <c r="P215" s="126"/>
      <c r="Q215" s="126">
        <v>1</v>
      </c>
      <c r="R215" s="126"/>
      <c r="S215" s="126">
        <v>0</v>
      </c>
      <c r="T215" s="124"/>
      <c r="U215" s="126">
        <v>1</v>
      </c>
      <c r="V215" s="126">
        <v>1</v>
      </c>
      <c r="W215" s="126">
        <v>1</v>
      </c>
      <c r="X215" s="126">
        <v>1</v>
      </c>
      <c r="Y215" s="126">
        <v>0</v>
      </c>
      <c r="Z215" s="124">
        <v>0</v>
      </c>
      <c r="AA215" s="126">
        <v>0</v>
      </c>
      <c r="AB215" s="124"/>
      <c r="AC215" s="126">
        <v>0</v>
      </c>
      <c r="AD215" s="124">
        <v>0</v>
      </c>
      <c r="AE215" s="126">
        <v>0</v>
      </c>
      <c r="AF215" s="124">
        <v>0</v>
      </c>
      <c r="AG215" s="126">
        <v>0</v>
      </c>
      <c r="AH215" s="126">
        <v>0</v>
      </c>
      <c r="AI215" s="126"/>
      <c r="AJ215" s="126"/>
      <c r="AK215" s="103">
        <v>5</v>
      </c>
    </row>
    <row r="216" spans="1:37" s="127" customFormat="1" ht="15.75">
      <c r="A216" s="120">
        <v>214</v>
      </c>
      <c r="B216" s="126" t="s">
        <v>784</v>
      </c>
      <c r="C216" s="129" t="s">
        <v>756</v>
      </c>
      <c r="D216" s="122" t="str">
        <f>"9040123"</f>
        <v>9040123</v>
      </c>
      <c r="E216" s="129" t="s">
        <v>468</v>
      </c>
      <c r="F216" s="126" t="s">
        <v>25</v>
      </c>
      <c r="G216" s="129" t="s">
        <v>785</v>
      </c>
      <c r="H216" s="126" t="s">
        <v>52</v>
      </c>
      <c r="I216" s="126">
        <v>1</v>
      </c>
      <c r="J216" s="126">
        <v>0</v>
      </c>
      <c r="K216" s="126">
        <v>2</v>
      </c>
      <c r="L216" s="124">
        <v>1</v>
      </c>
      <c r="M216" s="126">
        <v>1</v>
      </c>
      <c r="N216" s="126">
        <v>1</v>
      </c>
      <c r="O216" s="126">
        <v>1</v>
      </c>
      <c r="P216" s="126"/>
      <c r="Q216" s="126">
        <v>1</v>
      </c>
      <c r="R216" s="126"/>
      <c r="S216" s="126">
        <v>1</v>
      </c>
      <c r="T216" s="124"/>
      <c r="U216" s="126">
        <v>1</v>
      </c>
      <c r="V216" s="126">
        <v>1</v>
      </c>
      <c r="W216" s="126">
        <v>1</v>
      </c>
      <c r="X216" s="126">
        <v>1</v>
      </c>
      <c r="Y216" s="126">
        <v>1</v>
      </c>
      <c r="Z216" s="124">
        <v>0</v>
      </c>
      <c r="AA216" s="126">
        <v>0</v>
      </c>
      <c r="AB216" s="124"/>
      <c r="AC216" s="126">
        <v>0</v>
      </c>
      <c r="AD216" s="124">
        <v>0</v>
      </c>
      <c r="AE216" s="126">
        <v>1</v>
      </c>
      <c r="AF216" s="124">
        <v>0</v>
      </c>
      <c r="AG216" s="126">
        <v>1</v>
      </c>
      <c r="AH216" s="126">
        <v>1</v>
      </c>
      <c r="AI216" s="126"/>
      <c r="AJ216" s="126"/>
      <c r="AK216" s="103">
        <v>20</v>
      </c>
    </row>
    <row r="217" spans="1:37" s="127" customFormat="1" ht="15.75">
      <c r="A217" s="120">
        <v>215</v>
      </c>
      <c r="B217" s="126" t="s">
        <v>784</v>
      </c>
      <c r="C217" s="129" t="s">
        <v>759</v>
      </c>
      <c r="D217" s="122" t="str">
        <f>"9040137"</f>
        <v>9040137</v>
      </c>
      <c r="E217" s="129" t="s">
        <v>468</v>
      </c>
      <c r="F217" s="126" t="s">
        <v>25</v>
      </c>
      <c r="G217" s="129" t="s">
        <v>785</v>
      </c>
      <c r="H217" s="126" t="s">
        <v>800</v>
      </c>
      <c r="I217" s="126">
        <v>1</v>
      </c>
      <c r="J217" s="126">
        <v>0</v>
      </c>
      <c r="K217" s="126">
        <v>1</v>
      </c>
      <c r="L217" s="124">
        <v>1</v>
      </c>
      <c r="M217" s="126">
        <v>1</v>
      </c>
      <c r="N217" s="126">
        <v>1</v>
      </c>
      <c r="O217" s="126">
        <v>0</v>
      </c>
      <c r="P217" s="126"/>
      <c r="Q217" s="126">
        <v>1</v>
      </c>
      <c r="R217" s="126"/>
      <c r="S217" s="126">
        <v>0</v>
      </c>
      <c r="T217" s="124"/>
      <c r="U217" s="126">
        <v>0</v>
      </c>
      <c r="V217" s="126">
        <v>1</v>
      </c>
      <c r="W217" s="126">
        <v>0</v>
      </c>
      <c r="X217" s="126">
        <v>0</v>
      </c>
      <c r="Y217" s="126">
        <v>0</v>
      </c>
      <c r="Z217" s="124">
        <v>0</v>
      </c>
      <c r="AA217" s="126">
        <v>0</v>
      </c>
      <c r="AB217" s="124"/>
      <c r="AC217" s="126">
        <v>0</v>
      </c>
      <c r="AD217" s="124">
        <v>0</v>
      </c>
      <c r="AE217" s="126">
        <v>1</v>
      </c>
      <c r="AF217" s="124">
        <v>0</v>
      </c>
      <c r="AG217" s="126">
        <v>1</v>
      </c>
      <c r="AH217" s="126">
        <v>1</v>
      </c>
      <c r="AI217" s="126"/>
      <c r="AJ217" s="126"/>
      <c r="AK217" s="103">
        <v>17</v>
      </c>
    </row>
    <row r="218" spans="1:37" s="127" customFormat="1" ht="15.75">
      <c r="A218" s="120">
        <v>216</v>
      </c>
      <c r="B218" s="126" t="s">
        <v>784</v>
      </c>
      <c r="C218" s="129" t="s">
        <v>761</v>
      </c>
      <c r="D218" s="122" t="str">
        <f>"9040147"</f>
        <v>9040147</v>
      </c>
      <c r="E218" s="129" t="s">
        <v>468</v>
      </c>
      <c r="F218" s="126" t="s">
        <v>25</v>
      </c>
      <c r="G218" s="129" t="s">
        <v>785</v>
      </c>
      <c r="H218" s="126" t="s">
        <v>801</v>
      </c>
      <c r="I218" s="126"/>
      <c r="J218" s="126">
        <v>0</v>
      </c>
      <c r="K218" s="126"/>
      <c r="L218" s="124"/>
      <c r="M218" s="126"/>
      <c r="N218" s="126">
        <v>0</v>
      </c>
      <c r="O218" s="126"/>
      <c r="P218" s="126"/>
      <c r="Q218" s="126"/>
      <c r="R218" s="126"/>
      <c r="S218" s="126"/>
      <c r="T218" s="124"/>
      <c r="U218" s="126"/>
      <c r="V218" s="126"/>
      <c r="W218" s="126"/>
      <c r="X218" s="126"/>
      <c r="Y218" s="126"/>
      <c r="Z218" s="124">
        <v>0</v>
      </c>
      <c r="AA218" s="126"/>
      <c r="AB218" s="124"/>
      <c r="AC218" s="126"/>
      <c r="AD218" s="124">
        <v>0</v>
      </c>
      <c r="AE218" s="126"/>
      <c r="AF218" s="124">
        <v>0</v>
      </c>
      <c r="AG218" s="126"/>
      <c r="AH218" s="126"/>
      <c r="AI218" s="126"/>
      <c r="AJ218" s="126"/>
      <c r="AK218" s="103">
        <v>15</v>
      </c>
    </row>
    <row r="219" spans="1:37" s="127" customFormat="1" ht="15.75">
      <c r="A219" s="120">
        <v>217</v>
      </c>
      <c r="B219" s="126" t="s">
        <v>784</v>
      </c>
      <c r="C219" s="129" t="s">
        <v>762</v>
      </c>
      <c r="D219" s="122" t="str">
        <f>"9040148"</f>
        <v>9040148</v>
      </c>
      <c r="E219" s="129" t="s">
        <v>468</v>
      </c>
      <c r="F219" s="126" t="s">
        <v>25</v>
      </c>
      <c r="G219" s="129" t="s">
        <v>785</v>
      </c>
      <c r="H219" s="126" t="s">
        <v>802</v>
      </c>
      <c r="I219" s="126">
        <v>1</v>
      </c>
      <c r="J219" s="126">
        <v>0</v>
      </c>
      <c r="K219" s="126">
        <v>1</v>
      </c>
      <c r="L219" s="124">
        <v>1</v>
      </c>
      <c r="M219" s="126">
        <v>1</v>
      </c>
      <c r="N219" s="126">
        <v>1</v>
      </c>
      <c r="O219" s="126">
        <v>1</v>
      </c>
      <c r="P219" s="126"/>
      <c r="Q219" s="126">
        <v>0</v>
      </c>
      <c r="R219" s="126"/>
      <c r="S219" s="126">
        <v>0</v>
      </c>
      <c r="T219" s="124"/>
      <c r="U219" s="126">
        <v>1</v>
      </c>
      <c r="V219" s="126">
        <v>1</v>
      </c>
      <c r="W219" s="126">
        <v>1</v>
      </c>
      <c r="X219" s="126">
        <v>1</v>
      </c>
      <c r="Y219" s="126">
        <v>0</v>
      </c>
      <c r="Z219" s="124">
        <v>0</v>
      </c>
      <c r="AA219" s="126" t="s">
        <v>905</v>
      </c>
      <c r="AB219" s="124"/>
      <c r="AC219" s="126">
        <v>0</v>
      </c>
      <c r="AD219" s="124">
        <v>0</v>
      </c>
      <c r="AE219" s="126">
        <v>1</v>
      </c>
      <c r="AF219" s="124">
        <v>0</v>
      </c>
      <c r="AG219" s="126">
        <v>1</v>
      </c>
      <c r="AH219" s="126">
        <v>1</v>
      </c>
      <c r="AI219" s="126"/>
      <c r="AJ219" s="126"/>
      <c r="AK219" s="103">
        <v>9</v>
      </c>
    </row>
    <row r="220" spans="1:37" s="127" customFormat="1" ht="15.75">
      <c r="A220" s="120">
        <v>218</v>
      </c>
      <c r="B220" s="126" t="s">
        <v>784</v>
      </c>
      <c r="C220" s="129" t="s">
        <v>782</v>
      </c>
      <c r="D220" s="122" t="str">
        <f>"9040194"</f>
        <v>9040194</v>
      </c>
      <c r="E220" s="129" t="s">
        <v>468</v>
      </c>
      <c r="F220" s="126" t="s">
        <v>25</v>
      </c>
      <c r="G220" s="129" t="s">
        <v>785</v>
      </c>
      <c r="H220" s="126" t="s">
        <v>825</v>
      </c>
      <c r="I220" s="126">
        <v>1</v>
      </c>
      <c r="J220" s="126">
        <v>0</v>
      </c>
      <c r="K220" s="126">
        <v>1</v>
      </c>
      <c r="L220" s="124">
        <v>1</v>
      </c>
      <c r="M220" s="126">
        <v>0</v>
      </c>
      <c r="N220" s="126">
        <v>0</v>
      </c>
      <c r="O220" s="126">
        <v>0</v>
      </c>
      <c r="P220" s="126"/>
      <c r="Q220" s="126">
        <v>1</v>
      </c>
      <c r="R220" s="126">
        <v>1</v>
      </c>
      <c r="S220" s="126">
        <v>0</v>
      </c>
      <c r="T220" s="124"/>
      <c r="U220" s="126">
        <v>0</v>
      </c>
      <c r="V220" s="126"/>
      <c r="W220" s="126">
        <v>0</v>
      </c>
      <c r="X220" s="126">
        <v>0</v>
      </c>
      <c r="Y220" s="126">
        <v>0</v>
      </c>
      <c r="Z220" s="124">
        <v>0</v>
      </c>
      <c r="AA220" s="126">
        <v>0</v>
      </c>
      <c r="AB220" s="124"/>
      <c r="AC220" s="126">
        <v>0</v>
      </c>
      <c r="AD220" s="124">
        <v>0</v>
      </c>
      <c r="AE220" s="126">
        <v>0</v>
      </c>
      <c r="AF220" s="124">
        <v>0</v>
      </c>
      <c r="AG220" s="126">
        <v>0</v>
      </c>
      <c r="AH220" s="126">
        <v>0</v>
      </c>
      <c r="AI220" s="126"/>
      <c r="AJ220" s="126"/>
      <c r="AK220" s="103">
        <v>16</v>
      </c>
    </row>
    <row r="221" spans="1:37" s="127" customFormat="1" ht="15.75">
      <c r="A221" s="120">
        <v>219</v>
      </c>
      <c r="B221" s="126" t="s">
        <v>784</v>
      </c>
      <c r="C221" s="129" t="s">
        <v>783</v>
      </c>
      <c r="D221" s="122" t="str">
        <f>"9040201"</f>
        <v>9040201</v>
      </c>
      <c r="E221" s="129" t="s">
        <v>468</v>
      </c>
      <c r="F221" s="126" t="s">
        <v>25</v>
      </c>
      <c r="G221" s="129" t="s">
        <v>785</v>
      </c>
      <c r="H221" s="126" t="s">
        <v>828</v>
      </c>
      <c r="I221" s="126">
        <v>1</v>
      </c>
      <c r="J221" s="126">
        <v>0</v>
      </c>
      <c r="K221" s="126">
        <v>0</v>
      </c>
      <c r="L221" s="124"/>
      <c r="M221" s="126">
        <v>0</v>
      </c>
      <c r="N221" s="126">
        <v>0</v>
      </c>
      <c r="O221" s="126">
        <v>0</v>
      </c>
      <c r="P221" s="126"/>
      <c r="Q221" s="126">
        <v>0</v>
      </c>
      <c r="R221" s="126"/>
      <c r="S221" s="126">
        <v>0</v>
      </c>
      <c r="T221" s="124"/>
      <c r="U221" s="126">
        <v>0</v>
      </c>
      <c r="V221" s="126"/>
      <c r="W221" s="126">
        <v>0</v>
      </c>
      <c r="X221" s="126">
        <v>0</v>
      </c>
      <c r="Y221" s="126">
        <v>0</v>
      </c>
      <c r="Z221" s="124">
        <v>0</v>
      </c>
      <c r="AA221" s="126">
        <v>0</v>
      </c>
      <c r="AB221" s="124"/>
      <c r="AC221" s="126">
        <v>0</v>
      </c>
      <c r="AD221" s="124">
        <v>0</v>
      </c>
      <c r="AE221" s="126">
        <v>1</v>
      </c>
      <c r="AF221" s="124">
        <v>0</v>
      </c>
      <c r="AG221" s="126">
        <v>1</v>
      </c>
      <c r="AH221" s="126">
        <v>1</v>
      </c>
      <c r="AI221" s="126" t="s">
        <v>834</v>
      </c>
      <c r="AJ221" s="126" t="s">
        <v>834</v>
      </c>
      <c r="AK221" s="103">
        <v>5</v>
      </c>
    </row>
    <row r="222" spans="1:37" s="127" customFormat="1" ht="15.75">
      <c r="A222" s="120">
        <v>220</v>
      </c>
      <c r="B222" s="126" t="s">
        <v>784</v>
      </c>
      <c r="C222" s="129" t="s">
        <v>777</v>
      </c>
      <c r="D222" s="122" t="str">
        <f>"9040209"</f>
        <v>9040209</v>
      </c>
      <c r="E222" s="129" t="s">
        <v>468</v>
      </c>
      <c r="F222" s="126" t="s">
        <v>25</v>
      </c>
      <c r="G222" s="129" t="s">
        <v>785</v>
      </c>
      <c r="H222" s="126" t="s">
        <v>818</v>
      </c>
      <c r="I222" s="126"/>
      <c r="J222" s="126">
        <v>0</v>
      </c>
      <c r="K222" s="126"/>
      <c r="L222" s="124"/>
      <c r="M222" s="126"/>
      <c r="N222" s="126">
        <v>0</v>
      </c>
      <c r="O222" s="126"/>
      <c r="P222" s="126"/>
      <c r="Q222" s="126"/>
      <c r="R222" s="126"/>
      <c r="S222" s="126"/>
      <c r="T222" s="124"/>
      <c r="U222" s="126"/>
      <c r="V222" s="126"/>
      <c r="W222" s="126"/>
      <c r="X222" s="126"/>
      <c r="Y222" s="126"/>
      <c r="Z222" s="124">
        <v>0</v>
      </c>
      <c r="AA222" s="126"/>
      <c r="AB222" s="124"/>
      <c r="AC222" s="126"/>
      <c r="AD222" s="124">
        <v>0</v>
      </c>
      <c r="AE222" s="126"/>
      <c r="AF222" s="124">
        <v>0</v>
      </c>
      <c r="AG222" s="126"/>
      <c r="AH222" s="126"/>
      <c r="AI222" s="126"/>
      <c r="AJ222" s="126"/>
      <c r="AK222" s="103">
        <v>5</v>
      </c>
    </row>
    <row r="223" spans="1:37" s="127" customFormat="1" ht="15.75">
      <c r="A223" s="120">
        <v>221</v>
      </c>
      <c r="B223" s="126" t="s">
        <v>784</v>
      </c>
      <c r="C223" s="129" t="s">
        <v>763</v>
      </c>
      <c r="D223" s="122" t="str">
        <f>"9040210"</f>
        <v>9040210</v>
      </c>
      <c r="E223" s="129" t="s">
        <v>468</v>
      </c>
      <c r="F223" s="126" t="s">
        <v>25</v>
      </c>
      <c r="G223" s="129" t="s">
        <v>785</v>
      </c>
      <c r="H223" s="126" t="s">
        <v>803</v>
      </c>
      <c r="I223" s="126">
        <v>2</v>
      </c>
      <c r="J223" s="126">
        <v>0</v>
      </c>
      <c r="K223" s="126">
        <v>1</v>
      </c>
      <c r="L223" s="124">
        <v>1</v>
      </c>
      <c r="M223" s="126">
        <v>0</v>
      </c>
      <c r="N223" s="126">
        <v>0</v>
      </c>
      <c r="O223" s="126">
        <v>0</v>
      </c>
      <c r="P223" s="126"/>
      <c r="Q223" s="126">
        <v>1</v>
      </c>
      <c r="R223" s="126"/>
      <c r="S223" s="126">
        <v>1</v>
      </c>
      <c r="T223" s="124"/>
      <c r="U223" s="126">
        <v>1</v>
      </c>
      <c r="V223" s="126">
        <v>1</v>
      </c>
      <c r="W223" s="126">
        <v>1</v>
      </c>
      <c r="X223" s="126">
        <v>1</v>
      </c>
      <c r="Y223" s="126">
        <v>0</v>
      </c>
      <c r="Z223" s="124">
        <v>0</v>
      </c>
      <c r="AA223" s="126">
        <v>0</v>
      </c>
      <c r="AB223" s="124"/>
      <c r="AC223" s="126" t="s">
        <v>790</v>
      </c>
      <c r="AD223" s="124">
        <v>0</v>
      </c>
      <c r="AE223" s="126">
        <v>0</v>
      </c>
      <c r="AF223" s="124">
        <v>0</v>
      </c>
      <c r="AG223" s="126">
        <v>0</v>
      </c>
      <c r="AH223" s="126">
        <v>0</v>
      </c>
      <c r="AI223" s="126"/>
      <c r="AJ223" s="126"/>
      <c r="AK223" s="103">
        <v>14</v>
      </c>
    </row>
    <row r="224" spans="1:37" s="127" customFormat="1" ht="15.75">
      <c r="A224" s="120">
        <v>222</v>
      </c>
      <c r="B224" s="126" t="s">
        <v>784</v>
      </c>
      <c r="C224" s="129" t="s">
        <v>744</v>
      </c>
      <c r="D224" s="122" t="str">
        <f>"9040211"</f>
        <v>9040211</v>
      </c>
      <c r="E224" s="129" t="s">
        <v>468</v>
      </c>
      <c r="F224" s="126" t="s">
        <v>25</v>
      </c>
      <c r="G224" s="129" t="s">
        <v>785</v>
      </c>
      <c r="H224" s="126" t="s">
        <v>25</v>
      </c>
      <c r="I224" s="126">
        <v>3</v>
      </c>
      <c r="J224" s="126">
        <v>0</v>
      </c>
      <c r="K224" s="126">
        <v>3</v>
      </c>
      <c r="L224" s="124">
        <v>1</v>
      </c>
      <c r="M224" s="126">
        <v>1</v>
      </c>
      <c r="N224" s="126">
        <v>1</v>
      </c>
      <c r="O224" s="126">
        <v>2</v>
      </c>
      <c r="P224" s="126"/>
      <c r="Q224" s="126">
        <v>3</v>
      </c>
      <c r="R224" s="126"/>
      <c r="S224" s="126">
        <v>0</v>
      </c>
      <c r="T224" s="124"/>
      <c r="U224" s="126">
        <v>3</v>
      </c>
      <c r="V224" s="126">
        <v>1</v>
      </c>
      <c r="W224" s="126">
        <v>3</v>
      </c>
      <c r="X224" s="126">
        <v>3</v>
      </c>
      <c r="Y224" s="126">
        <v>1</v>
      </c>
      <c r="Z224" s="124">
        <v>0</v>
      </c>
      <c r="AA224" s="126">
        <v>0</v>
      </c>
      <c r="AB224" s="124"/>
      <c r="AC224" s="126">
        <v>0</v>
      </c>
      <c r="AD224" s="124">
        <v>0</v>
      </c>
      <c r="AE224" s="126">
        <v>2</v>
      </c>
      <c r="AF224" s="124">
        <v>0</v>
      </c>
      <c r="AG224" s="126">
        <v>3</v>
      </c>
      <c r="AH224" s="126">
        <v>3</v>
      </c>
      <c r="AI224" s="126"/>
      <c r="AJ224" s="126"/>
      <c r="AK224" s="103">
        <v>57</v>
      </c>
    </row>
    <row r="225" spans="1:37" s="127" customFormat="1" ht="15.75">
      <c r="A225" s="120">
        <v>223</v>
      </c>
      <c r="B225" s="126" t="s">
        <v>784</v>
      </c>
      <c r="C225" s="129" t="s">
        <v>740</v>
      </c>
      <c r="D225" s="122" t="str">
        <f>"9040228"</f>
        <v>9040228</v>
      </c>
      <c r="E225" s="129" t="s">
        <v>468</v>
      </c>
      <c r="F225" s="126" t="s">
        <v>25</v>
      </c>
      <c r="G225" s="129" t="s">
        <v>785</v>
      </c>
      <c r="H225" s="126" t="s">
        <v>795</v>
      </c>
      <c r="I225" s="126">
        <v>0</v>
      </c>
      <c r="J225" s="126">
        <v>0</v>
      </c>
      <c r="K225" s="126">
        <v>0</v>
      </c>
      <c r="L225" s="124"/>
      <c r="M225" s="126">
        <v>0</v>
      </c>
      <c r="N225" s="126">
        <v>0</v>
      </c>
      <c r="O225" s="126">
        <v>0</v>
      </c>
      <c r="P225" s="126"/>
      <c r="Q225" s="126">
        <v>0</v>
      </c>
      <c r="R225" s="126"/>
      <c r="S225" s="126">
        <v>0</v>
      </c>
      <c r="T225" s="124"/>
      <c r="U225" s="126">
        <v>1</v>
      </c>
      <c r="V225" s="126">
        <v>1</v>
      </c>
      <c r="W225" s="126">
        <v>0</v>
      </c>
      <c r="X225" s="126">
        <v>0</v>
      </c>
      <c r="Y225" s="126">
        <v>0</v>
      </c>
      <c r="Z225" s="124">
        <v>0</v>
      </c>
      <c r="AA225" s="126">
        <v>0</v>
      </c>
      <c r="AB225" s="124"/>
      <c r="AC225" s="126">
        <v>0</v>
      </c>
      <c r="AD225" s="124">
        <v>0</v>
      </c>
      <c r="AE225" s="126">
        <v>1</v>
      </c>
      <c r="AF225" s="124">
        <v>0</v>
      </c>
      <c r="AG225" s="126">
        <v>1</v>
      </c>
      <c r="AH225" s="126">
        <v>1</v>
      </c>
      <c r="AI225" s="126"/>
      <c r="AJ225" s="126"/>
      <c r="AK225" s="103">
        <v>21</v>
      </c>
    </row>
    <row r="226" spans="1:37" s="127" customFormat="1" ht="15.75">
      <c r="A226" s="120">
        <v>224</v>
      </c>
      <c r="B226" s="126" t="s">
        <v>784</v>
      </c>
      <c r="C226" s="129" t="s">
        <v>779</v>
      </c>
      <c r="D226" s="122" t="str">
        <f>"9040232"</f>
        <v>9040232</v>
      </c>
      <c r="E226" s="129" t="s">
        <v>468</v>
      </c>
      <c r="F226" s="126" t="s">
        <v>25</v>
      </c>
      <c r="G226" s="129" t="s">
        <v>785</v>
      </c>
      <c r="H226" s="126" t="s">
        <v>820</v>
      </c>
      <c r="I226" s="126">
        <v>0</v>
      </c>
      <c r="J226" s="126">
        <v>0</v>
      </c>
      <c r="K226" s="126">
        <v>1</v>
      </c>
      <c r="L226" s="124">
        <v>1</v>
      </c>
      <c r="M226" s="126">
        <v>1</v>
      </c>
      <c r="N226" s="126">
        <v>1</v>
      </c>
      <c r="O226" s="126">
        <v>1</v>
      </c>
      <c r="P226" s="126"/>
      <c r="Q226" s="126">
        <v>1</v>
      </c>
      <c r="R226" s="126"/>
      <c r="S226" s="126">
        <v>1</v>
      </c>
      <c r="T226" s="124"/>
      <c r="U226" s="126">
        <v>1</v>
      </c>
      <c r="V226" s="126">
        <v>1</v>
      </c>
      <c r="W226" s="126">
        <v>1</v>
      </c>
      <c r="X226" s="126">
        <v>1</v>
      </c>
      <c r="Y226" s="126">
        <v>1</v>
      </c>
      <c r="Z226" s="124">
        <v>0</v>
      </c>
      <c r="AA226" s="126">
        <v>1</v>
      </c>
      <c r="AB226" s="124"/>
      <c r="AC226" s="126">
        <v>1</v>
      </c>
      <c r="AD226" s="124">
        <v>0</v>
      </c>
      <c r="AE226" s="126">
        <v>1</v>
      </c>
      <c r="AF226" s="124">
        <v>0</v>
      </c>
      <c r="AG226" s="126">
        <v>1</v>
      </c>
      <c r="AH226" s="126">
        <v>1</v>
      </c>
      <c r="AI226" s="126"/>
      <c r="AJ226" s="126"/>
      <c r="AK226" s="103">
        <v>7</v>
      </c>
    </row>
    <row r="227" spans="1:37" s="127" customFormat="1" ht="15.75">
      <c r="A227" s="120">
        <v>225</v>
      </c>
      <c r="B227" s="126" t="s">
        <v>784</v>
      </c>
      <c r="C227" s="129" t="s">
        <v>780</v>
      </c>
      <c r="D227" s="122" t="str">
        <f>"9040237"</f>
        <v>9040237</v>
      </c>
      <c r="E227" s="129" t="s">
        <v>468</v>
      </c>
      <c r="F227" s="126" t="s">
        <v>25</v>
      </c>
      <c r="G227" s="129" t="s">
        <v>785</v>
      </c>
      <c r="H227" s="126" t="s">
        <v>821</v>
      </c>
      <c r="I227" s="126"/>
      <c r="J227" s="126">
        <v>0</v>
      </c>
      <c r="K227" s="126"/>
      <c r="L227" s="124"/>
      <c r="M227" s="126"/>
      <c r="N227" s="126">
        <v>0</v>
      </c>
      <c r="O227" s="126"/>
      <c r="P227" s="126"/>
      <c r="Q227" s="126"/>
      <c r="R227" s="126"/>
      <c r="S227" s="126"/>
      <c r="T227" s="124"/>
      <c r="U227" s="126"/>
      <c r="V227" s="126"/>
      <c r="W227" s="126"/>
      <c r="X227" s="126"/>
      <c r="Y227" s="126"/>
      <c r="Z227" s="124">
        <v>0</v>
      </c>
      <c r="AA227" s="126"/>
      <c r="AB227" s="124"/>
      <c r="AC227" s="126"/>
      <c r="AD227" s="124">
        <v>0</v>
      </c>
      <c r="AE227" s="126"/>
      <c r="AF227" s="124">
        <v>0</v>
      </c>
      <c r="AG227" s="126"/>
      <c r="AH227" s="126"/>
      <c r="AI227" s="126"/>
      <c r="AJ227" s="126"/>
      <c r="AK227" s="103"/>
    </row>
    <row r="228" spans="1:37" s="127" customFormat="1" ht="15.75">
      <c r="A228" s="120">
        <v>226</v>
      </c>
      <c r="B228" s="126" t="s">
        <v>784</v>
      </c>
      <c r="C228" s="129" t="s">
        <v>737</v>
      </c>
      <c r="D228" s="122" t="str">
        <f>"9040242"</f>
        <v>9040242</v>
      </c>
      <c r="E228" s="129" t="s">
        <v>468</v>
      </c>
      <c r="F228" s="126" t="s">
        <v>25</v>
      </c>
      <c r="G228" s="129" t="s">
        <v>785</v>
      </c>
      <c r="H228" s="126" t="s">
        <v>25</v>
      </c>
      <c r="I228" s="126"/>
      <c r="J228" s="126">
        <v>0</v>
      </c>
      <c r="K228" s="126"/>
      <c r="L228" s="124"/>
      <c r="M228" s="126"/>
      <c r="N228" s="126">
        <v>0</v>
      </c>
      <c r="O228" s="126"/>
      <c r="P228" s="126"/>
      <c r="Q228" s="126"/>
      <c r="R228" s="126"/>
      <c r="S228" s="126"/>
      <c r="T228" s="124"/>
      <c r="U228" s="126"/>
      <c r="V228" s="126"/>
      <c r="W228" s="126"/>
      <c r="X228" s="126"/>
      <c r="Y228" s="126"/>
      <c r="Z228" s="124">
        <v>0</v>
      </c>
      <c r="AA228" s="126"/>
      <c r="AB228" s="124"/>
      <c r="AC228" s="126"/>
      <c r="AD228" s="124">
        <v>0</v>
      </c>
      <c r="AE228" s="126"/>
      <c r="AF228" s="124">
        <v>0</v>
      </c>
      <c r="AG228" s="126"/>
      <c r="AH228" s="126"/>
      <c r="AI228" s="126"/>
      <c r="AJ228" s="126"/>
      <c r="AK228" s="103">
        <v>41</v>
      </c>
    </row>
    <row r="229" spans="1:37" s="127" customFormat="1" ht="15.75">
      <c r="A229" s="120">
        <v>227</v>
      </c>
      <c r="B229" s="126" t="s">
        <v>784</v>
      </c>
      <c r="C229" s="129" t="s">
        <v>764</v>
      </c>
      <c r="D229" s="122" t="str">
        <f>"9040243"</f>
        <v>9040243</v>
      </c>
      <c r="E229" s="129" t="s">
        <v>468</v>
      </c>
      <c r="F229" s="126" t="s">
        <v>25</v>
      </c>
      <c r="G229" s="129" t="s">
        <v>785</v>
      </c>
      <c r="H229" s="126" t="s">
        <v>804</v>
      </c>
      <c r="I229" s="126"/>
      <c r="J229" s="126">
        <v>0</v>
      </c>
      <c r="K229" s="126"/>
      <c r="L229" s="124"/>
      <c r="M229" s="126"/>
      <c r="N229" s="126">
        <v>0</v>
      </c>
      <c r="O229" s="126"/>
      <c r="P229" s="126"/>
      <c r="Q229" s="126"/>
      <c r="R229" s="126"/>
      <c r="S229" s="126"/>
      <c r="T229" s="124"/>
      <c r="U229" s="126"/>
      <c r="V229" s="126"/>
      <c r="W229" s="126"/>
      <c r="X229" s="126"/>
      <c r="Y229" s="126"/>
      <c r="Z229" s="124">
        <v>0</v>
      </c>
      <c r="AA229" s="126"/>
      <c r="AB229" s="124"/>
      <c r="AC229" s="126"/>
      <c r="AD229" s="124">
        <v>0</v>
      </c>
      <c r="AE229" s="126"/>
      <c r="AF229" s="124">
        <v>0</v>
      </c>
      <c r="AG229" s="126"/>
      <c r="AH229" s="126"/>
      <c r="AI229" s="126"/>
      <c r="AJ229" s="126"/>
      <c r="AK229" s="103"/>
    </row>
    <row r="230" spans="1:37" s="127" customFormat="1" ht="15.75">
      <c r="A230" s="120">
        <v>228</v>
      </c>
      <c r="B230" s="126" t="s">
        <v>784</v>
      </c>
      <c r="C230" s="129" t="s">
        <v>758</v>
      </c>
      <c r="D230" s="122" t="str">
        <f>"9040251"</f>
        <v>9040251</v>
      </c>
      <c r="E230" s="129" t="s">
        <v>468</v>
      </c>
      <c r="F230" s="126" t="s">
        <v>25</v>
      </c>
      <c r="G230" s="129" t="s">
        <v>785</v>
      </c>
      <c r="H230" s="126" t="s">
        <v>799</v>
      </c>
      <c r="I230" s="126">
        <v>1</v>
      </c>
      <c r="J230" s="126">
        <v>0</v>
      </c>
      <c r="K230" s="126">
        <v>1</v>
      </c>
      <c r="L230" s="124">
        <v>1</v>
      </c>
      <c r="M230" s="126">
        <v>0</v>
      </c>
      <c r="N230" s="126">
        <v>0</v>
      </c>
      <c r="O230" s="126">
        <v>1</v>
      </c>
      <c r="P230" s="126">
        <v>1</v>
      </c>
      <c r="Q230" s="126">
        <v>1</v>
      </c>
      <c r="R230" s="126"/>
      <c r="S230" s="126">
        <v>1</v>
      </c>
      <c r="T230" s="124"/>
      <c r="U230" s="126">
        <v>1</v>
      </c>
      <c r="V230" s="126">
        <v>1</v>
      </c>
      <c r="W230" s="126">
        <v>1</v>
      </c>
      <c r="X230" s="126">
        <v>1</v>
      </c>
      <c r="Y230" s="126">
        <v>1</v>
      </c>
      <c r="Z230" s="124">
        <v>0</v>
      </c>
      <c r="AA230" s="126" t="s">
        <v>904</v>
      </c>
      <c r="AB230" s="124"/>
      <c r="AC230" s="126">
        <v>0</v>
      </c>
      <c r="AD230" s="124">
        <v>0</v>
      </c>
      <c r="AE230" s="126">
        <v>1</v>
      </c>
      <c r="AF230" s="124">
        <v>0</v>
      </c>
      <c r="AG230" s="126">
        <v>1</v>
      </c>
      <c r="AH230" s="126">
        <v>1</v>
      </c>
      <c r="AI230" s="126"/>
      <c r="AJ230" s="126"/>
      <c r="AK230" s="103">
        <v>5</v>
      </c>
    </row>
    <row r="231" spans="1:37" s="127" customFormat="1" ht="15.75">
      <c r="A231" s="120">
        <v>229</v>
      </c>
      <c r="B231" s="126" t="s">
        <v>784</v>
      </c>
      <c r="C231" s="129" t="s">
        <v>738</v>
      </c>
      <c r="D231" s="122" t="str">
        <f>"9040261"</f>
        <v>9040261</v>
      </c>
      <c r="E231" s="129" t="s">
        <v>468</v>
      </c>
      <c r="F231" s="126" t="s">
        <v>25</v>
      </c>
      <c r="G231" s="129" t="s">
        <v>785</v>
      </c>
      <c r="H231" s="126" t="s">
        <v>25</v>
      </c>
      <c r="I231" s="126">
        <v>2</v>
      </c>
      <c r="J231" s="126">
        <v>1</v>
      </c>
      <c r="K231" s="126">
        <v>1</v>
      </c>
      <c r="L231" s="124">
        <v>1</v>
      </c>
      <c r="M231" s="126">
        <v>2</v>
      </c>
      <c r="N231" s="126">
        <v>1</v>
      </c>
      <c r="O231" s="126">
        <v>2</v>
      </c>
      <c r="P231" s="126"/>
      <c r="Q231" s="126">
        <v>1</v>
      </c>
      <c r="R231" s="126"/>
      <c r="S231" s="126">
        <v>1</v>
      </c>
      <c r="T231" s="124"/>
      <c r="U231" s="126">
        <v>1</v>
      </c>
      <c r="V231" s="126">
        <v>1</v>
      </c>
      <c r="W231" s="126">
        <v>3</v>
      </c>
      <c r="X231" s="126">
        <v>3</v>
      </c>
      <c r="Y231" s="126">
        <v>1</v>
      </c>
      <c r="Z231" s="124">
        <v>0</v>
      </c>
      <c r="AA231" s="126" t="s">
        <v>901</v>
      </c>
      <c r="AB231" s="124"/>
      <c r="AC231" s="126" t="s">
        <v>902</v>
      </c>
      <c r="AD231" s="124">
        <v>0</v>
      </c>
      <c r="AE231" s="126">
        <v>3</v>
      </c>
      <c r="AF231" s="124">
        <v>0</v>
      </c>
      <c r="AG231" s="126">
        <v>2</v>
      </c>
      <c r="AH231" s="126">
        <v>2</v>
      </c>
      <c r="AI231" s="126"/>
      <c r="AJ231" s="126"/>
      <c r="AK231" s="103">
        <v>43</v>
      </c>
    </row>
    <row r="232" spans="1:37" s="127" customFormat="1" ht="15.75">
      <c r="A232" s="120">
        <v>230</v>
      </c>
      <c r="B232" s="126" t="s">
        <v>784</v>
      </c>
      <c r="C232" s="129" t="s">
        <v>760</v>
      </c>
      <c r="D232" s="122" t="str">
        <f>"9040268"</f>
        <v>9040268</v>
      </c>
      <c r="E232" s="129" t="s">
        <v>468</v>
      </c>
      <c r="F232" s="126" t="s">
        <v>25</v>
      </c>
      <c r="G232" s="129" t="s">
        <v>785</v>
      </c>
      <c r="H232" s="126" t="s">
        <v>236</v>
      </c>
      <c r="I232" s="126">
        <v>1</v>
      </c>
      <c r="J232" s="126">
        <v>0</v>
      </c>
      <c r="K232" s="126">
        <v>0</v>
      </c>
      <c r="L232" s="124"/>
      <c r="M232" s="126">
        <v>0</v>
      </c>
      <c r="N232" s="126">
        <v>0</v>
      </c>
      <c r="O232" s="126">
        <v>0</v>
      </c>
      <c r="P232" s="126"/>
      <c r="Q232" s="126">
        <v>0</v>
      </c>
      <c r="R232" s="126"/>
      <c r="S232" s="126">
        <v>0</v>
      </c>
      <c r="T232" s="124"/>
      <c r="U232" s="126">
        <v>11</v>
      </c>
      <c r="V232" s="126">
        <v>1</v>
      </c>
      <c r="W232" s="126">
        <v>1</v>
      </c>
      <c r="X232" s="126">
        <v>1</v>
      </c>
      <c r="Y232" s="126">
        <v>1</v>
      </c>
      <c r="Z232" s="124">
        <v>0</v>
      </c>
      <c r="AA232" s="126">
        <v>0</v>
      </c>
      <c r="AB232" s="124"/>
      <c r="AC232" s="126">
        <v>0</v>
      </c>
      <c r="AD232" s="124">
        <v>0</v>
      </c>
      <c r="AE232" s="126">
        <v>0</v>
      </c>
      <c r="AF232" s="124">
        <v>0</v>
      </c>
      <c r="AG232" s="126">
        <v>0</v>
      </c>
      <c r="AH232" s="126">
        <v>0</v>
      </c>
      <c r="AI232" s="126"/>
      <c r="AJ232" s="126"/>
      <c r="AK232" s="103">
        <v>16</v>
      </c>
    </row>
    <row r="233" spans="1:37" s="127" customFormat="1" ht="15.75">
      <c r="A233" s="120">
        <v>231</v>
      </c>
      <c r="B233" s="126" t="s">
        <v>784</v>
      </c>
      <c r="C233" s="129" t="s">
        <v>767</v>
      </c>
      <c r="D233" s="122" t="str">
        <f>"9040270"</f>
        <v>9040270</v>
      </c>
      <c r="E233" s="129" t="s">
        <v>468</v>
      </c>
      <c r="F233" s="126" t="s">
        <v>25</v>
      </c>
      <c r="G233" s="129" t="s">
        <v>785</v>
      </c>
      <c r="H233" s="126" t="s">
        <v>827</v>
      </c>
      <c r="I233" s="126">
        <v>1</v>
      </c>
      <c r="J233" s="126">
        <v>0</v>
      </c>
      <c r="K233" s="126">
        <v>0</v>
      </c>
      <c r="L233" s="124"/>
      <c r="M233" s="126">
        <v>0</v>
      </c>
      <c r="N233" s="126">
        <v>0</v>
      </c>
      <c r="O233" s="126">
        <v>0</v>
      </c>
      <c r="P233" s="126"/>
      <c r="Q233" s="126">
        <v>0</v>
      </c>
      <c r="R233" s="126"/>
      <c r="S233" s="126">
        <v>0</v>
      </c>
      <c r="T233" s="124"/>
      <c r="U233" s="126">
        <v>0</v>
      </c>
      <c r="V233" s="126"/>
      <c r="W233" s="126">
        <v>0</v>
      </c>
      <c r="X233" s="126">
        <v>0</v>
      </c>
      <c r="Y233" s="126">
        <v>0</v>
      </c>
      <c r="Z233" s="124">
        <v>0</v>
      </c>
      <c r="AA233" s="126">
        <v>0</v>
      </c>
      <c r="AB233" s="124"/>
      <c r="AC233" s="126">
        <v>0</v>
      </c>
      <c r="AD233" s="124">
        <v>0</v>
      </c>
      <c r="AE233" s="126">
        <v>0</v>
      </c>
      <c r="AF233" s="124">
        <v>0</v>
      </c>
      <c r="AG233" s="126">
        <v>0</v>
      </c>
      <c r="AH233" s="126">
        <v>0</v>
      </c>
      <c r="AI233" s="126"/>
      <c r="AJ233" s="126"/>
      <c r="AK233" s="103">
        <v>7</v>
      </c>
    </row>
    <row r="234" spans="1:37" s="127" customFormat="1" ht="15.75">
      <c r="A234" s="120">
        <v>232</v>
      </c>
      <c r="B234" s="126" t="s">
        <v>784</v>
      </c>
      <c r="C234" s="129" t="s">
        <v>749</v>
      </c>
      <c r="D234" s="122" t="str">
        <f>"9040282"</f>
        <v>9040282</v>
      </c>
      <c r="E234" s="129" t="s">
        <v>468</v>
      </c>
      <c r="F234" s="126" t="s">
        <v>25</v>
      </c>
      <c r="G234" s="129" t="s">
        <v>785</v>
      </c>
      <c r="H234" s="126" t="s">
        <v>25</v>
      </c>
      <c r="I234" s="126"/>
      <c r="J234" s="126">
        <v>0</v>
      </c>
      <c r="K234" s="126"/>
      <c r="L234" s="124"/>
      <c r="M234" s="126"/>
      <c r="N234" s="126">
        <v>0</v>
      </c>
      <c r="O234" s="126"/>
      <c r="P234" s="126"/>
      <c r="Q234" s="126"/>
      <c r="R234" s="126"/>
      <c r="S234" s="126"/>
      <c r="T234" s="124"/>
      <c r="U234" s="126"/>
      <c r="V234" s="126"/>
      <c r="W234" s="126"/>
      <c r="X234" s="126"/>
      <c r="Y234" s="126"/>
      <c r="Z234" s="124">
        <v>0</v>
      </c>
      <c r="AA234" s="126"/>
      <c r="AB234" s="124"/>
      <c r="AC234" s="126"/>
      <c r="AD234" s="124">
        <v>0</v>
      </c>
      <c r="AE234" s="126"/>
      <c r="AF234" s="124">
        <v>0</v>
      </c>
      <c r="AG234" s="126"/>
      <c r="AH234" s="126"/>
      <c r="AI234" s="126"/>
      <c r="AJ234" s="126"/>
      <c r="AK234" s="103">
        <v>9</v>
      </c>
    </row>
    <row r="235" spans="1:37" s="127" customFormat="1" ht="15.75">
      <c r="A235" s="120">
        <v>233</v>
      </c>
      <c r="B235" s="126" t="s">
        <v>784</v>
      </c>
      <c r="C235" s="129" t="s">
        <v>757</v>
      </c>
      <c r="D235" s="122" t="str">
        <f>"9040023"</f>
        <v>9040023</v>
      </c>
      <c r="E235" s="129" t="s">
        <v>468</v>
      </c>
      <c r="F235" s="126" t="s">
        <v>25</v>
      </c>
      <c r="G235" s="129" t="s">
        <v>788</v>
      </c>
      <c r="H235" s="126" t="s">
        <v>53</v>
      </c>
      <c r="I235" s="126">
        <v>0</v>
      </c>
      <c r="J235" s="126">
        <v>0</v>
      </c>
      <c r="K235" s="126">
        <v>1</v>
      </c>
      <c r="L235" s="124">
        <v>1</v>
      </c>
      <c r="M235" s="126">
        <v>1</v>
      </c>
      <c r="N235" s="126">
        <v>1</v>
      </c>
      <c r="O235" s="126">
        <v>0</v>
      </c>
      <c r="P235" s="126"/>
      <c r="Q235" s="126">
        <v>0</v>
      </c>
      <c r="R235" s="126"/>
      <c r="S235" s="126">
        <v>0</v>
      </c>
      <c r="T235" s="124"/>
      <c r="U235" s="126">
        <v>1</v>
      </c>
      <c r="V235" s="126">
        <v>1</v>
      </c>
      <c r="W235" s="126">
        <v>1</v>
      </c>
      <c r="X235" s="126">
        <v>1</v>
      </c>
      <c r="Y235" s="126">
        <v>1</v>
      </c>
      <c r="Z235" s="124">
        <v>0</v>
      </c>
      <c r="AA235" s="126">
        <v>0</v>
      </c>
      <c r="AB235" s="124"/>
      <c r="AC235" s="126">
        <v>0</v>
      </c>
      <c r="AD235" s="124">
        <v>0</v>
      </c>
      <c r="AE235" s="126">
        <v>0</v>
      </c>
      <c r="AF235" s="124">
        <v>0</v>
      </c>
      <c r="AG235" s="126">
        <v>1</v>
      </c>
      <c r="AH235" s="126">
        <v>1</v>
      </c>
      <c r="AI235" s="126"/>
      <c r="AJ235" s="126"/>
      <c r="AK235" s="103">
        <v>3</v>
      </c>
    </row>
    <row r="236" spans="1:37" s="127" customFormat="1" ht="15.75">
      <c r="A236" s="120">
        <v>234</v>
      </c>
      <c r="B236" s="126" t="s">
        <v>784</v>
      </c>
      <c r="C236" s="129" t="s">
        <v>770</v>
      </c>
      <c r="D236" s="122" t="str">
        <f>"9040208"</f>
        <v>9040208</v>
      </c>
      <c r="E236" s="129" t="s">
        <v>468</v>
      </c>
      <c r="F236" s="126" t="s">
        <v>25</v>
      </c>
      <c r="G236" s="129" t="s">
        <v>788</v>
      </c>
      <c r="H236" s="126" t="s">
        <v>812</v>
      </c>
      <c r="I236" s="126">
        <v>1</v>
      </c>
      <c r="J236" s="126">
        <v>0</v>
      </c>
      <c r="K236" s="126">
        <v>0</v>
      </c>
      <c r="L236" s="124"/>
      <c r="M236" s="126">
        <v>0</v>
      </c>
      <c r="N236" s="126">
        <v>0</v>
      </c>
      <c r="O236" s="126">
        <v>0</v>
      </c>
      <c r="P236" s="126"/>
      <c r="Q236" s="126">
        <v>1</v>
      </c>
      <c r="R236" s="126">
        <v>1</v>
      </c>
      <c r="S236" s="126">
        <v>0</v>
      </c>
      <c r="T236" s="124"/>
      <c r="U236" s="126">
        <v>0</v>
      </c>
      <c r="V236" s="126"/>
      <c r="W236" s="126">
        <v>0</v>
      </c>
      <c r="X236" s="126">
        <v>0</v>
      </c>
      <c r="Y236" s="126">
        <v>1</v>
      </c>
      <c r="Z236" s="124">
        <v>0</v>
      </c>
      <c r="AA236" s="126">
        <v>0</v>
      </c>
      <c r="AB236" s="124"/>
      <c r="AC236" s="126">
        <v>0</v>
      </c>
      <c r="AD236" s="124">
        <v>0</v>
      </c>
      <c r="AE236" s="126">
        <v>0</v>
      </c>
      <c r="AF236" s="124">
        <v>0</v>
      </c>
      <c r="AG236" s="126">
        <v>0</v>
      </c>
      <c r="AH236" s="126">
        <v>0</v>
      </c>
      <c r="AI236" s="126"/>
      <c r="AJ236" s="126"/>
      <c r="AK236" s="103">
        <v>1</v>
      </c>
    </row>
    <row r="237" spans="1:37" s="127" customFormat="1" ht="15.75">
      <c r="A237" s="120">
        <v>235</v>
      </c>
      <c r="B237" s="126" t="s">
        <v>784</v>
      </c>
      <c r="C237" s="129" t="s">
        <v>775</v>
      </c>
      <c r="D237" s="122" t="str">
        <f>"9040229"</f>
        <v>9040229</v>
      </c>
      <c r="E237" s="129" t="s">
        <v>468</v>
      </c>
      <c r="F237" s="126" t="s">
        <v>25</v>
      </c>
      <c r="G237" s="129" t="s">
        <v>788</v>
      </c>
      <c r="H237" s="126" t="s">
        <v>679</v>
      </c>
      <c r="I237" s="126"/>
      <c r="J237" s="126">
        <v>0</v>
      </c>
      <c r="K237" s="126"/>
      <c r="L237" s="124"/>
      <c r="M237" s="126"/>
      <c r="N237" s="126">
        <v>0</v>
      </c>
      <c r="O237" s="126"/>
      <c r="P237" s="126"/>
      <c r="Q237" s="126"/>
      <c r="R237" s="126"/>
      <c r="S237" s="126"/>
      <c r="T237" s="124"/>
      <c r="U237" s="126"/>
      <c r="V237" s="126"/>
      <c r="W237" s="126"/>
      <c r="X237" s="126"/>
      <c r="Y237" s="126"/>
      <c r="Z237" s="124">
        <v>0</v>
      </c>
      <c r="AA237" s="126"/>
      <c r="AB237" s="124"/>
      <c r="AC237" s="126"/>
      <c r="AD237" s="124">
        <v>0</v>
      </c>
      <c r="AE237" s="126"/>
      <c r="AF237" s="124">
        <v>0</v>
      </c>
      <c r="AG237" s="126"/>
      <c r="AH237" s="126"/>
      <c r="AI237" s="126"/>
      <c r="AJ237" s="126"/>
      <c r="AK237" s="103"/>
    </row>
    <row r="238" spans="1:37" s="127" customFormat="1" ht="15.75">
      <c r="A238" s="120">
        <v>236</v>
      </c>
      <c r="B238" s="126" t="s">
        <v>784</v>
      </c>
      <c r="C238" s="129" t="s">
        <v>773</v>
      </c>
      <c r="D238" s="122" t="str">
        <f>"9040241"</f>
        <v>9040241</v>
      </c>
      <c r="E238" s="129" t="s">
        <v>468</v>
      </c>
      <c r="F238" s="126" t="s">
        <v>25</v>
      </c>
      <c r="G238" s="129" t="s">
        <v>788</v>
      </c>
      <c r="H238" s="126" t="s">
        <v>815</v>
      </c>
      <c r="I238" s="126">
        <v>1</v>
      </c>
      <c r="J238" s="126">
        <v>0</v>
      </c>
      <c r="K238" s="126">
        <v>0</v>
      </c>
      <c r="L238" s="124"/>
      <c r="M238" s="126">
        <v>0</v>
      </c>
      <c r="N238" s="126">
        <v>0</v>
      </c>
      <c r="O238" s="126">
        <v>0</v>
      </c>
      <c r="P238" s="126"/>
      <c r="Q238" s="126">
        <v>0</v>
      </c>
      <c r="R238" s="126"/>
      <c r="S238" s="126">
        <v>0</v>
      </c>
      <c r="T238" s="124"/>
      <c r="U238" s="126">
        <v>1</v>
      </c>
      <c r="V238" s="126">
        <v>1</v>
      </c>
      <c r="W238" s="126">
        <v>1</v>
      </c>
      <c r="X238" s="126">
        <v>1</v>
      </c>
      <c r="Y238" s="126">
        <v>0</v>
      </c>
      <c r="Z238" s="124">
        <v>0</v>
      </c>
      <c r="AA238" s="126">
        <v>0</v>
      </c>
      <c r="AB238" s="124"/>
      <c r="AC238" s="126">
        <v>0</v>
      </c>
      <c r="AD238" s="124">
        <v>0</v>
      </c>
      <c r="AE238" s="126">
        <v>0</v>
      </c>
      <c r="AF238" s="124">
        <v>0</v>
      </c>
      <c r="AG238" s="126">
        <v>0</v>
      </c>
      <c r="AH238" s="126">
        <v>0</v>
      </c>
      <c r="AI238" s="126"/>
      <c r="AJ238" s="126"/>
      <c r="AK238" s="103">
        <v>4</v>
      </c>
    </row>
    <row r="239" spans="1:37" s="127" customFormat="1" ht="15.75">
      <c r="A239" s="120">
        <v>237</v>
      </c>
      <c r="B239" s="126" t="s">
        <v>784</v>
      </c>
      <c r="C239" s="129" t="s">
        <v>781</v>
      </c>
      <c r="D239" s="122" t="str">
        <f>"9040253"</f>
        <v>9040253</v>
      </c>
      <c r="E239" s="129" t="s">
        <v>468</v>
      </c>
      <c r="F239" s="126" t="s">
        <v>25</v>
      </c>
      <c r="G239" s="129" t="s">
        <v>788</v>
      </c>
      <c r="H239" s="126" t="s">
        <v>823</v>
      </c>
      <c r="I239" s="126">
        <v>0</v>
      </c>
      <c r="J239" s="126">
        <v>0</v>
      </c>
      <c r="K239" s="126">
        <v>1</v>
      </c>
      <c r="L239" s="124">
        <v>1</v>
      </c>
      <c r="M239" s="126">
        <v>1</v>
      </c>
      <c r="N239" s="126">
        <v>1</v>
      </c>
      <c r="O239" s="126">
        <v>0</v>
      </c>
      <c r="P239" s="126"/>
      <c r="Q239" s="126">
        <v>0</v>
      </c>
      <c r="R239" s="126"/>
      <c r="S239" s="126">
        <v>0</v>
      </c>
      <c r="T239" s="124"/>
      <c r="U239" s="126">
        <v>1</v>
      </c>
      <c r="V239" s="126">
        <v>1</v>
      </c>
      <c r="W239" s="126">
        <v>0</v>
      </c>
      <c r="X239" s="126">
        <v>0</v>
      </c>
      <c r="Y239" s="126">
        <v>0</v>
      </c>
      <c r="Z239" s="124">
        <v>0</v>
      </c>
      <c r="AA239" s="126">
        <v>0</v>
      </c>
      <c r="AB239" s="124"/>
      <c r="AC239" s="126">
        <v>0</v>
      </c>
      <c r="AD239" s="124">
        <v>0</v>
      </c>
      <c r="AE239" s="126">
        <v>0</v>
      </c>
      <c r="AF239" s="124">
        <v>0</v>
      </c>
      <c r="AG239" s="126">
        <v>1</v>
      </c>
      <c r="AH239" s="126">
        <v>1</v>
      </c>
      <c r="AI239" s="126"/>
      <c r="AJ239" s="126"/>
      <c r="AK239" s="103">
        <v>2</v>
      </c>
    </row>
    <row r="240" spans="1:37" s="127" customFormat="1" ht="15.75">
      <c r="A240" s="120">
        <v>238</v>
      </c>
      <c r="B240" s="126" t="s">
        <v>784</v>
      </c>
      <c r="C240" s="129" t="s">
        <v>765</v>
      </c>
      <c r="D240" s="122" t="str">
        <f>"9040275"</f>
        <v>9040275</v>
      </c>
      <c r="E240" s="129" t="s">
        <v>468</v>
      </c>
      <c r="F240" s="126" t="s">
        <v>25</v>
      </c>
      <c r="G240" s="129" t="s">
        <v>788</v>
      </c>
      <c r="H240" s="126" t="s">
        <v>826</v>
      </c>
      <c r="I240" s="126">
        <v>2</v>
      </c>
      <c r="J240" s="126">
        <v>0</v>
      </c>
      <c r="K240" s="126">
        <v>1</v>
      </c>
      <c r="L240" s="124">
        <v>1</v>
      </c>
      <c r="M240" s="126">
        <v>0</v>
      </c>
      <c r="N240" s="126">
        <v>0</v>
      </c>
      <c r="O240" s="126">
        <v>0</v>
      </c>
      <c r="P240" s="126"/>
      <c r="Q240" s="126">
        <v>1</v>
      </c>
      <c r="R240" s="126"/>
      <c r="S240" s="126">
        <v>0</v>
      </c>
      <c r="T240" s="124"/>
      <c r="U240" s="126">
        <v>1</v>
      </c>
      <c r="V240" s="126">
        <v>1</v>
      </c>
      <c r="W240" s="126">
        <v>0</v>
      </c>
      <c r="X240" s="126">
        <v>0</v>
      </c>
      <c r="Y240" s="126">
        <v>0</v>
      </c>
      <c r="Z240" s="124">
        <v>0</v>
      </c>
      <c r="AA240" s="126">
        <v>0</v>
      </c>
      <c r="AB240" s="124"/>
      <c r="AC240" s="126">
        <v>0</v>
      </c>
      <c r="AD240" s="124">
        <v>0</v>
      </c>
      <c r="AE240" s="126">
        <v>0</v>
      </c>
      <c r="AF240" s="124">
        <v>0</v>
      </c>
      <c r="AG240" s="126">
        <v>0</v>
      </c>
      <c r="AH240" s="126">
        <v>0</v>
      </c>
      <c r="AI240" s="126"/>
      <c r="AJ240" s="126"/>
      <c r="AK240" s="103">
        <v>1</v>
      </c>
    </row>
    <row r="241" spans="1:37" s="127" customFormat="1" ht="15.75">
      <c r="A241" s="120">
        <v>239</v>
      </c>
      <c r="B241" s="126" t="s">
        <v>784</v>
      </c>
      <c r="C241" s="129" t="s">
        <v>776</v>
      </c>
      <c r="D241" s="122" t="str">
        <f>"9040277"</f>
        <v>9040277</v>
      </c>
      <c r="E241" s="129" t="s">
        <v>468</v>
      </c>
      <c r="F241" s="126" t="s">
        <v>25</v>
      </c>
      <c r="G241" s="129" t="s">
        <v>788</v>
      </c>
      <c r="H241" s="126" t="s">
        <v>817</v>
      </c>
      <c r="I241" s="126">
        <v>1</v>
      </c>
      <c r="J241" s="126">
        <v>0</v>
      </c>
      <c r="K241" s="126">
        <v>1</v>
      </c>
      <c r="L241" s="124">
        <v>1</v>
      </c>
      <c r="M241" s="126">
        <v>1</v>
      </c>
      <c r="N241" s="126">
        <v>1</v>
      </c>
      <c r="O241" s="126">
        <v>1</v>
      </c>
      <c r="P241" s="126"/>
      <c r="Q241" s="126">
        <v>1</v>
      </c>
      <c r="R241" s="126"/>
      <c r="S241" s="126">
        <v>1</v>
      </c>
      <c r="T241" s="124"/>
      <c r="U241" s="126">
        <v>1</v>
      </c>
      <c r="V241" s="126">
        <v>1</v>
      </c>
      <c r="W241" s="126">
        <v>0</v>
      </c>
      <c r="X241" s="126">
        <v>0</v>
      </c>
      <c r="Y241" s="126">
        <v>1</v>
      </c>
      <c r="Z241" s="124">
        <v>0</v>
      </c>
      <c r="AA241" s="126">
        <v>0</v>
      </c>
      <c r="AB241" s="124"/>
      <c r="AC241" s="126">
        <v>0</v>
      </c>
      <c r="AD241" s="124">
        <v>0</v>
      </c>
      <c r="AE241" s="126">
        <v>1</v>
      </c>
      <c r="AF241" s="124">
        <v>0</v>
      </c>
      <c r="AG241" s="126">
        <v>1</v>
      </c>
      <c r="AH241" s="126">
        <v>1</v>
      </c>
      <c r="AI241" s="126"/>
      <c r="AJ241" s="126"/>
      <c r="AK241" s="103">
        <v>1</v>
      </c>
    </row>
    <row r="242" spans="1:37" s="127" customFormat="1" ht="15.75">
      <c r="A242" s="120">
        <v>240</v>
      </c>
      <c r="B242" s="126" t="s">
        <v>784</v>
      </c>
      <c r="C242" s="129" t="s">
        <v>753</v>
      </c>
      <c r="D242" s="122" t="str">
        <f>"9040233"</f>
        <v>9040233</v>
      </c>
      <c r="E242" s="129" t="s">
        <v>468</v>
      </c>
      <c r="F242" s="126" t="s">
        <v>25</v>
      </c>
      <c r="G242" s="129" t="s">
        <v>787</v>
      </c>
      <c r="H242" s="126" t="s">
        <v>796</v>
      </c>
      <c r="I242" s="126"/>
      <c r="J242" s="126">
        <v>0</v>
      </c>
      <c r="K242" s="126"/>
      <c r="L242" s="124"/>
      <c r="M242" s="126"/>
      <c r="N242" s="126">
        <v>0</v>
      </c>
      <c r="O242" s="126"/>
      <c r="P242" s="126"/>
      <c r="Q242" s="126"/>
      <c r="R242" s="126"/>
      <c r="S242" s="126"/>
      <c r="T242" s="124"/>
      <c r="U242" s="126"/>
      <c r="V242" s="126"/>
      <c r="W242" s="126"/>
      <c r="X242" s="126"/>
      <c r="Y242" s="126"/>
      <c r="Z242" s="124">
        <v>0</v>
      </c>
      <c r="AA242" s="126"/>
      <c r="AB242" s="124"/>
      <c r="AC242" s="126"/>
      <c r="AD242" s="124">
        <v>0</v>
      </c>
      <c r="AE242" s="126"/>
      <c r="AF242" s="124">
        <v>0</v>
      </c>
      <c r="AG242" s="126"/>
      <c r="AH242" s="126"/>
      <c r="AI242" s="126"/>
      <c r="AJ242" s="126"/>
      <c r="AK242" s="103">
        <v>6</v>
      </c>
    </row>
    <row r="243" spans="1:37" s="127" customFormat="1" ht="15.75">
      <c r="A243" s="120">
        <v>241</v>
      </c>
      <c r="B243" s="126" t="s">
        <v>784</v>
      </c>
      <c r="C243" s="129" t="s">
        <v>772</v>
      </c>
      <c r="D243" s="122" t="str">
        <f>"9040281"</f>
        <v>9040281</v>
      </c>
      <c r="E243" s="129" t="s">
        <v>468</v>
      </c>
      <c r="F243" s="126" t="s">
        <v>25</v>
      </c>
      <c r="G243" s="129" t="s">
        <v>787</v>
      </c>
      <c r="H243" s="126" t="s">
        <v>822</v>
      </c>
      <c r="I243" s="126">
        <v>1</v>
      </c>
      <c r="J243" s="126">
        <v>0</v>
      </c>
      <c r="K243" s="126">
        <v>1</v>
      </c>
      <c r="L243" s="124">
        <v>1</v>
      </c>
      <c r="M243" s="126">
        <v>1</v>
      </c>
      <c r="N243" s="126">
        <v>1</v>
      </c>
      <c r="O243" s="126">
        <v>0</v>
      </c>
      <c r="P243" s="126"/>
      <c r="Q243" s="126">
        <v>1</v>
      </c>
      <c r="R243" s="126">
        <v>1</v>
      </c>
      <c r="S243" s="126">
        <v>0</v>
      </c>
      <c r="T243" s="124"/>
      <c r="U243" s="126">
        <v>0</v>
      </c>
      <c r="V243" s="126"/>
      <c r="W243" s="126">
        <v>0</v>
      </c>
      <c r="X243" s="126">
        <v>0</v>
      </c>
      <c r="Y243" s="126">
        <v>0</v>
      </c>
      <c r="Z243" s="124">
        <v>0</v>
      </c>
      <c r="AA243" s="126">
        <v>0</v>
      </c>
      <c r="AB243" s="124"/>
      <c r="AC243" s="126">
        <v>0</v>
      </c>
      <c r="AD243" s="124">
        <v>0</v>
      </c>
      <c r="AE243" s="126">
        <v>1</v>
      </c>
      <c r="AF243" s="124">
        <v>0</v>
      </c>
      <c r="AG243" s="126">
        <v>0</v>
      </c>
      <c r="AH243" s="126">
        <v>0</v>
      </c>
      <c r="AI243" s="126"/>
      <c r="AJ243" s="126"/>
      <c r="AK243" s="103">
        <v>6</v>
      </c>
    </row>
    <row r="244" spans="1:37" s="127" customFormat="1" ht="15.75">
      <c r="A244" s="120">
        <v>242</v>
      </c>
      <c r="B244" s="126" t="s">
        <v>784</v>
      </c>
      <c r="C244" s="129" t="s">
        <v>768</v>
      </c>
      <c r="D244" s="122" t="str">
        <f>"9520960"</f>
        <v>9520960</v>
      </c>
      <c r="E244" s="129" t="s">
        <v>468</v>
      </c>
      <c r="F244" s="126" t="s">
        <v>25</v>
      </c>
      <c r="G244" s="129" t="s">
        <v>787</v>
      </c>
      <c r="H244" s="126" t="s">
        <v>808</v>
      </c>
      <c r="I244" s="126"/>
      <c r="J244" s="126">
        <v>0</v>
      </c>
      <c r="K244" s="126"/>
      <c r="L244" s="124"/>
      <c r="M244" s="126"/>
      <c r="N244" s="126">
        <v>0</v>
      </c>
      <c r="O244" s="126"/>
      <c r="P244" s="126"/>
      <c r="Q244" s="126"/>
      <c r="R244" s="126"/>
      <c r="S244" s="126"/>
      <c r="T244" s="124"/>
      <c r="U244" s="126"/>
      <c r="V244" s="126"/>
      <c r="W244" s="126"/>
      <c r="X244" s="126"/>
      <c r="Y244" s="126"/>
      <c r="Z244" s="124">
        <v>0</v>
      </c>
      <c r="AA244" s="126"/>
      <c r="AB244" s="124"/>
      <c r="AC244" s="126"/>
      <c r="AD244" s="124">
        <v>0</v>
      </c>
      <c r="AE244" s="126"/>
      <c r="AF244" s="124">
        <v>0</v>
      </c>
      <c r="AG244" s="126"/>
      <c r="AH244" s="126"/>
      <c r="AI244" s="126"/>
      <c r="AJ244" s="126"/>
      <c r="AK244" s="103"/>
    </row>
    <row r="245" spans="1:37" s="127" customFormat="1" ht="15.75">
      <c r="A245" s="120">
        <v>243</v>
      </c>
      <c r="B245" s="126" t="s">
        <v>784</v>
      </c>
      <c r="C245" s="129" t="s">
        <v>778</v>
      </c>
      <c r="D245" s="122" t="str">
        <f>"9520961"</f>
        <v>9520961</v>
      </c>
      <c r="E245" s="129" t="s">
        <v>468</v>
      </c>
      <c r="F245" s="126" t="s">
        <v>25</v>
      </c>
      <c r="G245" s="129" t="s">
        <v>787</v>
      </c>
      <c r="H245" s="126" t="s">
        <v>819</v>
      </c>
      <c r="I245" s="126"/>
      <c r="J245" s="126">
        <v>0</v>
      </c>
      <c r="K245" s="126"/>
      <c r="L245" s="124"/>
      <c r="M245" s="126"/>
      <c r="N245" s="126">
        <v>0</v>
      </c>
      <c r="O245" s="126"/>
      <c r="P245" s="126"/>
      <c r="Q245" s="126"/>
      <c r="R245" s="126"/>
      <c r="S245" s="126"/>
      <c r="T245" s="124"/>
      <c r="U245" s="126"/>
      <c r="V245" s="126"/>
      <c r="W245" s="126"/>
      <c r="X245" s="126"/>
      <c r="Y245" s="126"/>
      <c r="Z245" s="124">
        <v>0</v>
      </c>
      <c r="AA245" s="126"/>
      <c r="AB245" s="124"/>
      <c r="AC245" s="126"/>
      <c r="AD245" s="124">
        <v>0</v>
      </c>
      <c r="AE245" s="126"/>
      <c r="AF245" s="124">
        <v>0</v>
      </c>
      <c r="AG245" s="126"/>
      <c r="AH245" s="126"/>
      <c r="AI245" s="126"/>
      <c r="AJ245" s="126"/>
      <c r="AK245" s="103">
        <v>3</v>
      </c>
    </row>
    <row r="246" spans="1:37" s="127" customFormat="1" ht="15.75">
      <c r="A246" s="120">
        <v>244</v>
      </c>
      <c r="B246" s="126" t="s">
        <v>784</v>
      </c>
      <c r="C246" s="129" t="s">
        <v>750</v>
      </c>
      <c r="D246" s="122" t="str">
        <f>"9040012"</f>
        <v>9040012</v>
      </c>
      <c r="E246" s="129" t="s">
        <v>468</v>
      </c>
      <c r="F246" s="126" t="s">
        <v>25</v>
      </c>
      <c r="G246" s="129" t="s">
        <v>786</v>
      </c>
      <c r="H246" s="126" t="s">
        <v>25</v>
      </c>
      <c r="I246" s="126">
        <v>1</v>
      </c>
      <c r="J246" s="126">
        <v>0</v>
      </c>
      <c r="K246" s="126">
        <v>1</v>
      </c>
      <c r="L246" s="124">
        <v>1</v>
      </c>
      <c r="M246" s="126">
        <v>1</v>
      </c>
      <c r="N246" s="126">
        <v>1</v>
      </c>
      <c r="O246" s="126">
        <v>0</v>
      </c>
      <c r="P246" s="126"/>
      <c r="Q246" s="126">
        <v>0</v>
      </c>
      <c r="R246" s="126"/>
      <c r="S246" s="126">
        <v>0</v>
      </c>
      <c r="T246" s="124"/>
      <c r="U246" s="126">
        <v>1</v>
      </c>
      <c r="V246" s="126">
        <v>1</v>
      </c>
      <c r="W246" s="126">
        <v>0</v>
      </c>
      <c r="X246" s="126">
        <v>0</v>
      </c>
      <c r="Y246" s="126">
        <v>0</v>
      </c>
      <c r="Z246" s="124">
        <v>0</v>
      </c>
      <c r="AA246" s="126">
        <v>0</v>
      </c>
      <c r="AB246" s="124"/>
      <c r="AC246" s="126">
        <v>0</v>
      </c>
      <c r="AD246" s="124">
        <v>0</v>
      </c>
      <c r="AE246" s="126">
        <v>0</v>
      </c>
      <c r="AF246" s="124">
        <v>0</v>
      </c>
      <c r="AG246" s="126">
        <v>1</v>
      </c>
      <c r="AH246" s="126">
        <v>1</v>
      </c>
      <c r="AI246" s="126"/>
      <c r="AJ246" s="126"/>
      <c r="AK246" s="103">
        <v>6</v>
      </c>
    </row>
    <row r="247" spans="1:37" s="127" customFormat="1" ht="15.75">
      <c r="A247" s="120">
        <v>245</v>
      </c>
      <c r="B247" s="126" t="s">
        <v>784</v>
      </c>
      <c r="C247" s="129" t="s">
        <v>766</v>
      </c>
      <c r="D247" s="122" t="str">
        <f>"9040058"</f>
        <v>9040058</v>
      </c>
      <c r="E247" s="129" t="s">
        <v>468</v>
      </c>
      <c r="F247" s="126" t="s">
        <v>25</v>
      </c>
      <c r="G247" s="129" t="s">
        <v>786</v>
      </c>
      <c r="H247" s="126" t="s">
        <v>59</v>
      </c>
      <c r="I247" s="126">
        <v>2</v>
      </c>
      <c r="J247" s="126">
        <v>0</v>
      </c>
      <c r="K247" s="126">
        <v>1</v>
      </c>
      <c r="L247" s="124">
        <v>1</v>
      </c>
      <c r="M247" s="126">
        <v>0</v>
      </c>
      <c r="N247" s="126">
        <v>0</v>
      </c>
      <c r="O247" s="126">
        <v>0</v>
      </c>
      <c r="P247" s="126"/>
      <c r="Q247" s="126">
        <v>1</v>
      </c>
      <c r="R247" s="126"/>
      <c r="S247" s="126">
        <v>1</v>
      </c>
      <c r="T247" s="124"/>
      <c r="U247" s="126">
        <v>0</v>
      </c>
      <c r="V247" s="126">
        <v>1</v>
      </c>
      <c r="W247" s="126">
        <v>0</v>
      </c>
      <c r="X247" s="126">
        <v>0</v>
      </c>
      <c r="Y247" s="126">
        <v>0</v>
      </c>
      <c r="Z247" s="124">
        <v>0</v>
      </c>
      <c r="AA247" s="126">
        <v>0</v>
      </c>
      <c r="AB247" s="124"/>
      <c r="AC247" s="126">
        <v>0</v>
      </c>
      <c r="AD247" s="124">
        <v>0</v>
      </c>
      <c r="AE247" s="126">
        <v>0</v>
      </c>
      <c r="AF247" s="124">
        <v>0</v>
      </c>
      <c r="AG247" s="126">
        <v>0</v>
      </c>
      <c r="AH247" s="126">
        <v>0</v>
      </c>
      <c r="AI247" s="126"/>
      <c r="AJ247" s="126"/>
      <c r="AK247" s="103">
        <v>47</v>
      </c>
    </row>
    <row r="248" spans="1:37" s="127" customFormat="1" ht="15.75">
      <c r="A248" s="120">
        <v>246</v>
      </c>
      <c r="B248" s="126" t="s">
        <v>784</v>
      </c>
      <c r="C248" s="129" t="s">
        <v>771</v>
      </c>
      <c r="D248" s="122" t="str">
        <f>"9040075"</f>
        <v>9040075</v>
      </c>
      <c r="E248" s="129" t="s">
        <v>468</v>
      </c>
      <c r="F248" s="126" t="s">
        <v>25</v>
      </c>
      <c r="G248" s="129" t="s">
        <v>786</v>
      </c>
      <c r="H248" s="126" t="s">
        <v>55</v>
      </c>
      <c r="I248" s="126">
        <v>1</v>
      </c>
      <c r="J248" s="126">
        <v>0</v>
      </c>
      <c r="K248" s="126">
        <v>1</v>
      </c>
      <c r="L248" s="124">
        <v>1</v>
      </c>
      <c r="M248" s="126">
        <v>1</v>
      </c>
      <c r="N248" s="126">
        <v>1</v>
      </c>
      <c r="O248" s="126">
        <v>1</v>
      </c>
      <c r="P248" s="126"/>
      <c r="Q248" s="126">
        <v>1</v>
      </c>
      <c r="R248" s="126"/>
      <c r="S248" s="126">
        <v>0</v>
      </c>
      <c r="T248" s="124"/>
      <c r="U248" s="126">
        <v>1</v>
      </c>
      <c r="V248" s="126">
        <v>1</v>
      </c>
      <c r="W248" s="126">
        <v>0</v>
      </c>
      <c r="X248" s="126">
        <v>0</v>
      </c>
      <c r="Y248" s="126">
        <v>0</v>
      </c>
      <c r="Z248" s="124">
        <v>0</v>
      </c>
      <c r="AA248" s="126">
        <v>0</v>
      </c>
      <c r="AB248" s="124"/>
      <c r="AC248" s="126">
        <v>0</v>
      </c>
      <c r="AD248" s="124">
        <v>0</v>
      </c>
      <c r="AE248" s="126">
        <v>1</v>
      </c>
      <c r="AF248" s="124">
        <v>0</v>
      </c>
      <c r="AG248" s="126">
        <v>1</v>
      </c>
      <c r="AH248" s="126">
        <v>1</v>
      </c>
      <c r="AI248" s="126"/>
      <c r="AJ248" s="126"/>
      <c r="AK248" s="103">
        <v>24</v>
      </c>
    </row>
    <row r="249" spans="1:37" s="127" customFormat="1" ht="15.75">
      <c r="A249" s="120">
        <v>247</v>
      </c>
      <c r="B249" s="126" t="s">
        <v>784</v>
      </c>
      <c r="C249" s="129" t="s">
        <v>774</v>
      </c>
      <c r="D249" s="122" t="str">
        <f>"9040084"</f>
        <v>9040084</v>
      </c>
      <c r="E249" s="129" t="s">
        <v>468</v>
      </c>
      <c r="F249" s="126" t="s">
        <v>25</v>
      </c>
      <c r="G249" s="129" t="s">
        <v>786</v>
      </c>
      <c r="H249" s="126" t="s">
        <v>56</v>
      </c>
      <c r="I249" s="126">
        <v>1</v>
      </c>
      <c r="J249" s="126">
        <v>0</v>
      </c>
      <c r="K249" s="126">
        <v>1</v>
      </c>
      <c r="L249" s="124">
        <v>1</v>
      </c>
      <c r="M249" s="126">
        <v>0</v>
      </c>
      <c r="N249" s="126">
        <v>0</v>
      </c>
      <c r="O249" s="126">
        <v>0</v>
      </c>
      <c r="P249" s="126"/>
      <c r="Q249" s="126">
        <v>1</v>
      </c>
      <c r="R249" s="126">
        <v>1</v>
      </c>
      <c r="S249" s="126">
        <v>0</v>
      </c>
      <c r="T249" s="124"/>
      <c r="U249" s="126">
        <v>0</v>
      </c>
      <c r="V249" s="126"/>
      <c r="W249" s="126">
        <v>1</v>
      </c>
      <c r="X249" s="126">
        <v>1</v>
      </c>
      <c r="Y249" s="126">
        <v>0</v>
      </c>
      <c r="Z249" s="124">
        <v>0</v>
      </c>
      <c r="AA249" s="126">
        <v>0</v>
      </c>
      <c r="AB249" s="124"/>
      <c r="AC249" s="126">
        <v>0</v>
      </c>
      <c r="AD249" s="124">
        <v>0</v>
      </c>
      <c r="AE249" s="126">
        <v>0</v>
      </c>
      <c r="AF249" s="124">
        <v>0</v>
      </c>
      <c r="AG249" s="126">
        <v>1</v>
      </c>
      <c r="AH249" s="126">
        <v>1</v>
      </c>
      <c r="AI249" s="126"/>
      <c r="AJ249" s="126"/>
      <c r="AK249" s="103">
        <v>11</v>
      </c>
    </row>
    <row r="250" spans="1:37" s="127" customFormat="1" ht="15.75">
      <c r="A250" s="120">
        <v>248</v>
      </c>
      <c r="B250" s="126" t="s">
        <v>784</v>
      </c>
      <c r="C250" s="129" t="s">
        <v>751</v>
      </c>
      <c r="D250" s="122" t="str">
        <f>"9040225"</f>
        <v>9040225</v>
      </c>
      <c r="E250" s="129" t="s">
        <v>468</v>
      </c>
      <c r="F250" s="126" t="s">
        <v>25</v>
      </c>
      <c r="G250" s="129" t="s">
        <v>786</v>
      </c>
      <c r="H250" s="126" t="s">
        <v>793</v>
      </c>
      <c r="I250" s="126"/>
      <c r="J250" s="126">
        <v>0</v>
      </c>
      <c r="K250" s="126"/>
      <c r="L250" s="124"/>
      <c r="M250" s="126"/>
      <c r="N250" s="126">
        <v>0</v>
      </c>
      <c r="O250" s="126"/>
      <c r="P250" s="126"/>
      <c r="Q250" s="126"/>
      <c r="R250" s="126"/>
      <c r="S250" s="126"/>
      <c r="T250" s="124"/>
      <c r="U250" s="126"/>
      <c r="V250" s="126"/>
      <c r="W250" s="126"/>
      <c r="X250" s="126"/>
      <c r="Y250" s="126"/>
      <c r="Z250" s="124">
        <v>0</v>
      </c>
      <c r="AA250" s="126"/>
      <c r="AB250" s="124"/>
      <c r="AC250" s="126"/>
      <c r="AD250" s="124">
        <v>0</v>
      </c>
      <c r="AE250" s="126"/>
      <c r="AF250" s="124">
        <v>0</v>
      </c>
      <c r="AG250" s="126"/>
      <c r="AH250" s="126"/>
      <c r="AI250" s="126"/>
      <c r="AJ250" s="126"/>
      <c r="AK250" s="103">
        <v>26</v>
      </c>
    </row>
    <row r="251" spans="1:37" s="127" customFormat="1" ht="15.75">
      <c r="A251" s="120">
        <v>249</v>
      </c>
      <c r="B251" s="126" t="s">
        <v>784</v>
      </c>
      <c r="C251" s="129" t="s">
        <v>755</v>
      </c>
      <c r="D251" s="122" t="str">
        <f>"9040265"</f>
        <v>9040265</v>
      </c>
      <c r="E251" s="129" t="s">
        <v>468</v>
      </c>
      <c r="F251" s="126" t="s">
        <v>25</v>
      </c>
      <c r="G251" s="129" t="s">
        <v>786</v>
      </c>
      <c r="H251" s="126" t="s">
        <v>498</v>
      </c>
      <c r="I251" s="126">
        <v>0</v>
      </c>
      <c r="J251" s="126">
        <v>0</v>
      </c>
      <c r="K251" s="126">
        <v>0</v>
      </c>
      <c r="L251" s="124"/>
      <c r="M251" s="126">
        <v>0</v>
      </c>
      <c r="N251" s="126">
        <v>0</v>
      </c>
      <c r="O251" s="126">
        <v>0</v>
      </c>
      <c r="P251" s="126"/>
      <c r="Q251" s="126">
        <v>0</v>
      </c>
      <c r="R251" s="126"/>
      <c r="S251" s="126">
        <v>0</v>
      </c>
      <c r="T251" s="124"/>
      <c r="U251" s="126">
        <v>0</v>
      </c>
      <c r="V251" s="126"/>
      <c r="W251" s="126">
        <v>1</v>
      </c>
      <c r="X251" s="126">
        <v>1</v>
      </c>
      <c r="Y251" s="126">
        <v>0</v>
      </c>
      <c r="Z251" s="124">
        <v>0</v>
      </c>
      <c r="AA251" s="126">
        <v>1</v>
      </c>
      <c r="AB251" s="124"/>
      <c r="AC251" s="126" t="s">
        <v>903</v>
      </c>
      <c r="AD251" s="124">
        <v>0</v>
      </c>
      <c r="AE251" s="126">
        <v>1</v>
      </c>
      <c r="AF251" s="124">
        <v>0</v>
      </c>
      <c r="AG251" s="126">
        <v>1</v>
      </c>
      <c r="AH251" s="126">
        <v>1</v>
      </c>
      <c r="AI251" s="126"/>
      <c r="AJ251" s="126"/>
      <c r="AK251" s="103">
        <v>10</v>
      </c>
    </row>
    <row r="252" spans="1:37" s="127" customFormat="1" ht="15.75">
      <c r="A252" s="120">
        <v>250</v>
      </c>
      <c r="B252" s="126" t="s">
        <v>565</v>
      </c>
      <c r="C252" s="129" t="s">
        <v>505</v>
      </c>
      <c r="D252" s="122" t="str">
        <f>"9180003"</f>
        <v>9180003</v>
      </c>
      <c r="E252" s="129" t="s">
        <v>467</v>
      </c>
      <c r="F252" s="126" t="s">
        <v>26</v>
      </c>
      <c r="G252" s="129" t="s">
        <v>129</v>
      </c>
      <c r="H252" s="126" t="s">
        <v>129</v>
      </c>
      <c r="I252" s="126">
        <v>19</v>
      </c>
      <c r="J252" s="126">
        <v>2</v>
      </c>
      <c r="K252" s="126">
        <v>10</v>
      </c>
      <c r="L252" s="124">
        <v>2</v>
      </c>
      <c r="M252" s="126">
        <v>5</v>
      </c>
      <c r="N252" s="126">
        <v>1</v>
      </c>
      <c r="O252" s="126">
        <v>7</v>
      </c>
      <c r="P252" s="126"/>
      <c r="Q252" s="126">
        <v>2</v>
      </c>
      <c r="R252" s="126">
        <v>1</v>
      </c>
      <c r="S252" s="126">
        <v>4</v>
      </c>
      <c r="T252" s="124"/>
      <c r="U252" s="126">
        <v>2</v>
      </c>
      <c r="V252" s="126"/>
      <c r="W252" s="126">
        <v>2</v>
      </c>
      <c r="X252" s="126">
        <v>2</v>
      </c>
      <c r="Y252" s="126">
        <v>2</v>
      </c>
      <c r="Z252" s="124">
        <v>1</v>
      </c>
      <c r="AA252" s="126">
        <v>0</v>
      </c>
      <c r="AB252" s="124">
        <v>0</v>
      </c>
      <c r="AC252" s="126">
        <v>0</v>
      </c>
      <c r="AD252" s="124">
        <v>0</v>
      </c>
      <c r="AE252" s="126">
        <v>7</v>
      </c>
      <c r="AF252" s="124">
        <v>0</v>
      </c>
      <c r="AG252" s="126">
        <v>0</v>
      </c>
      <c r="AH252" s="126">
        <v>0</v>
      </c>
      <c r="AI252" s="126"/>
      <c r="AJ252" s="126"/>
      <c r="AK252" s="105"/>
    </row>
    <row r="253" spans="1:37" s="127" customFormat="1" ht="15.75">
      <c r="A253" s="120">
        <v>251</v>
      </c>
      <c r="B253" s="126" t="s">
        <v>565</v>
      </c>
      <c r="C253" s="129" t="s">
        <v>508</v>
      </c>
      <c r="D253" s="122" t="str">
        <f>"9180005"</f>
        <v>9180005</v>
      </c>
      <c r="E253" s="129" t="s">
        <v>467</v>
      </c>
      <c r="F253" s="126" t="s">
        <v>26</v>
      </c>
      <c r="G253" s="129" t="s">
        <v>129</v>
      </c>
      <c r="H253" s="126" t="s">
        <v>129</v>
      </c>
      <c r="I253" s="126"/>
      <c r="J253" s="126"/>
      <c r="K253" s="126"/>
      <c r="L253" s="124"/>
      <c r="M253" s="126"/>
      <c r="N253" s="126"/>
      <c r="O253" s="126"/>
      <c r="P253" s="126"/>
      <c r="Q253" s="126"/>
      <c r="R253" s="126"/>
      <c r="S253" s="126"/>
      <c r="T253" s="124"/>
      <c r="U253" s="126"/>
      <c r="V253" s="126"/>
      <c r="W253" s="126"/>
      <c r="X253" s="126"/>
      <c r="Y253" s="126"/>
      <c r="Z253" s="124">
        <v>0</v>
      </c>
      <c r="AA253" s="126"/>
      <c r="AB253" s="124">
        <v>0</v>
      </c>
      <c r="AC253" s="126"/>
      <c r="AD253" s="124">
        <v>0</v>
      </c>
      <c r="AE253" s="126"/>
      <c r="AF253" s="124">
        <v>0</v>
      </c>
      <c r="AG253" s="126"/>
      <c r="AH253" s="126"/>
      <c r="AI253" s="126"/>
      <c r="AJ253" s="126"/>
      <c r="AK253" s="103">
        <v>64</v>
      </c>
    </row>
    <row r="254" spans="1:37" s="127" customFormat="1" ht="15.75">
      <c r="A254" s="120">
        <v>252</v>
      </c>
      <c r="B254" s="126" t="s">
        <v>565</v>
      </c>
      <c r="C254" s="129" t="s">
        <v>516</v>
      </c>
      <c r="D254" s="122" t="str">
        <f>"9180016"</f>
        <v>9180016</v>
      </c>
      <c r="E254" s="129" t="s">
        <v>467</v>
      </c>
      <c r="F254" s="126" t="s">
        <v>26</v>
      </c>
      <c r="G254" s="129" t="s">
        <v>129</v>
      </c>
      <c r="H254" s="126" t="s">
        <v>568</v>
      </c>
      <c r="I254" s="126"/>
      <c r="J254" s="126"/>
      <c r="K254" s="126"/>
      <c r="L254" s="124"/>
      <c r="M254" s="126"/>
      <c r="N254" s="126"/>
      <c r="O254" s="126"/>
      <c r="P254" s="126"/>
      <c r="Q254" s="126"/>
      <c r="R254" s="126"/>
      <c r="S254" s="126"/>
      <c r="T254" s="124"/>
      <c r="U254" s="126"/>
      <c r="V254" s="126"/>
      <c r="W254" s="126"/>
      <c r="X254" s="126"/>
      <c r="Y254" s="126"/>
      <c r="Z254" s="124">
        <v>0</v>
      </c>
      <c r="AA254" s="126"/>
      <c r="AB254" s="124">
        <v>0</v>
      </c>
      <c r="AC254" s="126"/>
      <c r="AD254" s="124">
        <v>0</v>
      </c>
      <c r="AE254" s="126"/>
      <c r="AF254" s="124">
        <v>0</v>
      </c>
      <c r="AG254" s="126"/>
      <c r="AH254" s="126"/>
      <c r="AI254" s="126"/>
      <c r="AJ254" s="126"/>
      <c r="AK254" s="103">
        <v>72</v>
      </c>
    </row>
    <row r="255" spans="1:37" s="127" customFormat="1" ht="15.75">
      <c r="A255" s="120">
        <v>253</v>
      </c>
      <c r="B255" s="126" t="s">
        <v>565</v>
      </c>
      <c r="C255" s="129" t="s">
        <v>518</v>
      </c>
      <c r="D255" s="122" t="str">
        <f>"9180019"</f>
        <v>9180019</v>
      </c>
      <c r="E255" s="129" t="s">
        <v>467</v>
      </c>
      <c r="F255" s="126" t="s">
        <v>26</v>
      </c>
      <c r="G255" s="129" t="s">
        <v>129</v>
      </c>
      <c r="H255" s="126" t="s">
        <v>569</v>
      </c>
      <c r="I255" s="126">
        <v>2</v>
      </c>
      <c r="J255" s="126">
        <v>1</v>
      </c>
      <c r="K255" s="126">
        <v>5</v>
      </c>
      <c r="L255" s="124">
        <v>1</v>
      </c>
      <c r="M255" s="126">
        <v>0</v>
      </c>
      <c r="N255" s="126"/>
      <c r="O255" s="126">
        <v>2</v>
      </c>
      <c r="P255" s="126">
        <v>1</v>
      </c>
      <c r="Q255" s="126">
        <v>0</v>
      </c>
      <c r="R255" s="126"/>
      <c r="S255" s="126">
        <v>0</v>
      </c>
      <c r="T255" s="124"/>
      <c r="U255" s="126">
        <v>0</v>
      </c>
      <c r="V255" s="126"/>
      <c r="W255" s="126">
        <v>0</v>
      </c>
      <c r="X255" s="126">
        <v>0</v>
      </c>
      <c r="Y255" s="126">
        <v>0</v>
      </c>
      <c r="Z255" s="124">
        <v>0</v>
      </c>
      <c r="AA255" s="126">
        <v>0</v>
      </c>
      <c r="AB255" s="124">
        <v>0</v>
      </c>
      <c r="AC255" s="126">
        <v>0</v>
      </c>
      <c r="AD255" s="124">
        <v>0</v>
      </c>
      <c r="AE255" s="126">
        <v>2</v>
      </c>
      <c r="AF255" s="124">
        <v>0</v>
      </c>
      <c r="AG255" s="126">
        <v>0</v>
      </c>
      <c r="AH255" s="126">
        <v>0</v>
      </c>
      <c r="AI255" s="126"/>
      <c r="AJ255" s="126"/>
      <c r="AK255" s="103">
        <v>28</v>
      </c>
    </row>
    <row r="256" spans="1:37" s="127" customFormat="1" ht="15.75">
      <c r="A256" s="120">
        <v>254</v>
      </c>
      <c r="B256" s="126" t="s">
        <v>565</v>
      </c>
      <c r="C256" s="129" t="s">
        <v>522</v>
      </c>
      <c r="D256" s="122" t="str">
        <f>"9180025"</f>
        <v>9180025</v>
      </c>
      <c r="E256" s="129" t="s">
        <v>467</v>
      </c>
      <c r="F256" s="126" t="s">
        <v>26</v>
      </c>
      <c r="G256" s="129" t="s">
        <v>129</v>
      </c>
      <c r="H256" s="126" t="s">
        <v>138</v>
      </c>
      <c r="I256" s="126"/>
      <c r="J256" s="126"/>
      <c r="K256" s="126">
        <v>1</v>
      </c>
      <c r="L256" s="124">
        <v>1</v>
      </c>
      <c r="M256" s="126">
        <v>1</v>
      </c>
      <c r="N256" s="126">
        <v>1</v>
      </c>
      <c r="O256" s="126">
        <v>6</v>
      </c>
      <c r="P256" s="126"/>
      <c r="Q256" s="126">
        <v>1</v>
      </c>
      <c r="R256" s="126">
        <v>1</v>
      </c>
      <c r="S256" s="126">
        <v>0</v>
      </c>
      <c r="T256" s="124"/>
      <c r="U256" s="126">
        <v>1</v>
      </c>
      <c r="V256" s="126"/>
      <c r="W256" s="126">
        <v>2</v>
      </c>
      <c r="X256" s="126">
        <v>2</v>
      </c>
      <c r="Y256" s="126">
        <v>0</v>
      </c>
      <c r="Z256" s="124">
        <v>0</v>
      </c>
      <c r="AA256" s="126" t="s">
        <v>888</v>
      </c>
      <c r="AB256" s="124">
        <v>0</v>
      </c>
      <c r="AC256" s="126">
        <v>0</v>
      </c>
      <c r="AD256" s="124">
        <v>0</v>
      </c>
      <c r="AE256" s="126">
        <v>6</v>
      </c>
      <c r="AF256" s="124">
        <v>0</v>
      </c>
      <c r="AG256" s="126">
        <v>0</v>
      </c>
      <c r="AH256" s="126">
        <v>0</v>
      </c>
      <c r="AI256" s="126" t="s">
        <v>841</v>
      </c>
      <c r="AJ256" s="126" t="s">
        <v>841</v>
      </c>
      <c r="AK256" s="103">
        <v>28</v>
      </c>
    </row>
    <row r="257" spans="1:37" s="127" customFormat="1" ht="15.75">
      <c r="A257" s="120">
        <v>255</v>
      </c>
      <c r="B257" s="126" t="s">
        <v>565</v>
      </c>
      <c r="C257" s="129" t="s">
        <v>525</v>
      </c>
      <c r="D257" s="122" t="str">
        <f>"9180029"</f>
        <v>9180029</v>
      </c>
      <c r="E257" s="129" t="s">
        <v>467</v>
      </c>
      <c r="F257" s="126" t="s">
        <v>26</v>
      </c>
      <c r="G257" s="129" t="s">
        <v>129</v>
      </c>
      <c r="H257" s="126" t="s">
        <v>137</v>
      </c>
      <c r="I257" s="126">
        <v>0</v>
      </c>
      <c r="J257" s="126">
        <v>0</v>
      </c>
      <c r="K257" s="126">
        <v>1</v>
      </c>
      <c r="L257" s="124">
        <v>1</v>
      </c>
      <c r="M257" s="126">
        <v>1</v>
      </c>
      <c r="N257" s="126">
        <v>1</v>
      </c>
      <c r="O257" s="126">
        <v>2</v>
      </c>
      <c r="P257" s="126"/>
      <c r="Q257" s="126">
        <v>2</v>
      </c>
      <c r="R257" s="126">
        <v>1</v>
      </c>
      <c r="S257" s="126">
        <v>1</v>
      </c>
      <c r="T257" s="124"/>
      <c r="U257" s="126">
        <v>2</v>
      </c>
      <c r="V257" s="126"/>
      <c r="W257" s="126">
        <v>3</v>
      </c>
      <c r="X257" s="126">
        <v>3</v>
      </c>
      <c r="Y257" s="126">
        <v>0</v>
      </c>
      <c r="Z257" s="124">
        <v>0</v>
      </c>
      <c r="AA257" s="126">
        <v>0</v>
      </c>
      <c r="AB257" s="124">
        <v>0</v>
      </c>
      <c r="AC257" s="126">
        <v>0</v>
      </c>
      <c r="AD257" s="124">
        <v>0</v>
      </c>
      <c r="AE257" s="126">
        <v>0</v>
      </c>
      <c r="AF257" s="124">
        <v>0</v>
      </c>
      <c r="AG257" s="126">
        <v>0</v>
      </c>
      <c r="AH257" s="126">
        <v>0</v>
      </c>
      <c r="AI257" s="126" t="s">
        <v>841</v>
      </c>
      <c r="AJ257" s="126" t="s">
        <v>841</v>
      </c>
      <c r="AK257" s="103">
        <v>51</v>
      </c>
    </row>
    <row r="258" spans="1:37" s="127" customFormat="1" ht="15.75">
      <c r="A258" s="120">
        <v>256</v>
      </c>
      <c r="B258" s="126" t="s">
        <v>565</v>
      </c>
      <c r="C258" s="129" t="s">
        <v>527</v>
      </c>
      <c r="D258" s="122" t="str">
        <f>"9180030"</f>
        <v>9180030</v>
      </c>
      <c r="E258" s="129" t="s">
        <v>467</v>
      </c>
      <c r="F258" s="126" t="s">
        <v>26</v>
      </c>
      <c r="G258" s="129" t="s">
        <v>129</v>
      </c>
      <c r="H258" s="126" t="s">
        <v>573</v>
      </c>
      <c r="I258" s="126"/>
      <c r="J258" s="126"/>
      <c r="K258" s="126"/>
      <c r="L258" s="124"/>
      <c r="M258" s="126"/>
      <c r="N258" s="126"/>
      <c r="O258" s="126"/>
      <c r="P258" s="126"/>
      <c r="Q258" s="126"/>
      <c r="R258" s="126"/>
      <c r="S258" s="126"/>
      <c r="T258" s="124"/>
      <c r="U258" s="126"/>
      <c r="V258" s="126"/>
      <c r="W258" s="126"/>
      <c r="X258" s="126"/>
      <c r="Y258" s="126"/>
      <c r="Z258" s="124">
        <v>0</v>
      </c>
      <c r="AA258" s="126"/>
      <c r="AB258" s="124">
        <v>0</v>
      </c>
      <c r="AC258" s="126"/>
      <c r="AD258" s="124">
        <v>0</v>
      </c>
      <c r="AE258" s="126"/>
      <c r="AF258" s="124">
        <v>0</v>
      </c>
      <c r="AG258" s="126"/>
      <c r="AH258" s="126"/>
      <c r="AI258" s="126"/>
      <c r="AJ258" s="126"/>
      <c r="AK258" s="103">
        <v>53</v>
      </c>
    </row>
    <row r="259" spans="1:37" s="127" customFormat="1" ht="15.75">
      <c r="A259" s="120">
        <v>257</v>
      </c>
      <c r="B259" s="126" t="s">
        <v>565</v>
      </c>
      <c r="C259" s="129" t="s">
        <v>521</v>
      </c>
      <c r="D259" s="122" t="str">
        <f>"9180046"</f>
        <v>9180046</v>
      </c>
      <c r="E259" s="129" t="s">
        <v>467</v>
      </c>
      <c r="F259" s="126" t="s">
        <v>26</v>
      </c>
      <c r="G259" s="129" t="s">
        <v>129</v>
      </c>
      <c r="H259" s="126" t="s">
        <v>133</v>
      </c>
      <c r="I259" s="126"/>
      <c r="J259" s="126"/>
      <c r="K259" s="126"/>
      <c r="L259" s="124"/>
      <c r="M259" s="126"/>
      <c r="N259" s="126"/>
      <c r="O259" s="126"/>
      <c r="P259" s="126"/>
      <c r="Q259" s="126"/>
      <c r="R259" s="126"/>
      <c r="S259" s="126"/>
      <c r="T259" s="124"/>
      <c r="U259" s="126"/>
      <c r="V259" s="126"/>
      <c r="W259" s="126"/>
      <c r="X259" s="126"/>
      <c r="Y259" s="126"/>
      <c r="Z259" s="124">
        <v>0</v>
      </c>
      <c r="AA259" s="126"/>
      <c r="AB259" s="124">
        <v>0</v>
      </c>
      <c r="AC259" s="126"/>
      <c r="AD259" s="124">
        <v>0</v>
      </c>
      <c r="AE259" s="126"/>
      <c r="AF259" s="124">
        <v>0</v>
      </c>
      <c r="AG259" s="126"/>
      <c r="AH259" s="126"/>
      <c r="AI259" s="126"/>
      <c r="AJ259" s="126"/>
      <c r="AK259" s="103">
        <v>0</v>
      </c>
    </row>
    <row r="260" spans="1:37" s="127" customFormat="1" ht="15.75">
      <c r="A260" s="120">
        <v>258</v>
      </c>
      <c r="B260" s="126" t="s">
        <v>565</v>
      </c>
      <c r="C260" s="129" t="s">
        <v>515</v>
      </c>
      <c r="D260" s="122" t="str">
        <f>"9180049"</f>
        <v>9180049</v>
      </c>
      <c r="E260" s="129" t="s">
        <v>467</v>
      </c>
      <c r="F260" s="126" t="s">
        <v>26</v>
      </c>
      <c r="G260" s="129" t="s">
        <v>129</v>
      </c>
      <c r="H260" s="126" t="s">
        <v>136</v>
      </c>
      <c r="I260" s="126"/>
      <c r="J260" s="126"/>
      <c r="K260" s="126">
        <v>1</v>
      </c>
      <c r="L260" s="124">
        <v>1</v>
      </c>
      <c r="M260" s="126">
        <v>1</v>
      </c>
      <c r="N260" s="126">
        <v>1</v>
      </c>
      <c r="O260" s="126">
        <v>1</v>
      </c>
      <c r="P260" s="126"/>
      <c r="Q260" s="126">
        <v>1</v>
      </c>
      <c r="R260" s="126">
        <v>1</v>
      </c>
      <c r="S260" s="126">
        <v>0</v>
      </c>
      <c r="T260" s="124"/>
      <c r="U260" s="126">
        <v>0</v>
      </c>
      <c r="V260" s="126"/>
      <c r="W260" s="126">
        <v>0</v>
      </c>
      <c r="X260" s="126">
        <v>0</v>
      </c>
      <c r="Y260" s="126"/>
      <c r="Z260" s="124">
        <v>0</v>
      </c>
      <c r="AA260" s="126">
        <v>0</v>
      </c>
      <c r="AB260" s="124">
        <v>0</v>
      </c>
      <c r="AC260" s="126">
        <v>0</v>
      </c>
      <c r="AD260" s="124">
        <v>0</v>
      </c>
      <c r="AE260" s="126">
        <v>3</v>
      </c>
      <c r="AF260" s="124">
        <v>0</v>
      </c>
      <c r="AG260" s="126">
        <v>0</v>
      </c>
      <c r="AH260" s="126">
        <v>0</v>
      </c>
      <c r="AI260" s="126" t="s">
        <v>841</v>
      </c>
      <c r="AJ260" s="126" t="s">
        <v>841</v>
      </c>
      <c r="AK260" s="103">
        <v>43</v>
      </c>
    </row>
    <row r="261" spans="1:37" s="127" customFormat="1" ht="15.75">
      <c r="A261" s="120">
        <v>259</v>
      </c>
      <c r="B261" s="126" t="s">
        <v>565</v>
      </c>
      <c r="C261" s="129" t="s">
        <v>524</v>
      </c>
      <c r="D261" s="122" t="str">
        <f>"9180123"</f>
        <v>9180123</v>
      </c>
      <c r="E261" s="129" t="s">
        <v>467</v>
      </c>
      <c r="F261" s="126" t="s">
        <v>26</v>
      </c>
      <c r="G261" s="129" t="s">
        <v>129</v>
      </c>
      <c r="H261" s="126" t="s">
        <v>572</v>
      </c>
      <c r="I261" s="126"/>
      <c r="J261" s="126"/>
      <c r="K261" s="126">
        <v>1</v>
      </c>
      <c r="L261" s="124">
        <v>1</v>
      </c>
      <c r="M261" s="126">
        <v>1</v>
      </c>
      <c r="N261" s="126">
        <v>1</v>
      </c>
      <c r="O261" s="126">
        <v>1</v>
      </c>
      <c r="P261" s="126"/>
      <c r="Q261" s="126">
        <v>1</v>
      </c>
      <c r="R261" s="126">
        <v>1</v>
      </c>
      <c r="S261" s="126">
        <v>1</v>
      </c>
      <c r="T261" s="124"/>
      <c r="U261" s="126">
        <v>1</v>
      </c>
      <c r="V261" s="126"/>
      <c r="W261" s="126">
        <v>2</v>
      </c>
      <c r="X261" s="126">
        <v>2</v>
      </c>
      <c r="Y261" s="126"/>
      <c r="Z261" s="124">
        <v>0</v>
      </c>
      <c r="AA261" s="126">
        <v>0</v>
      </c>
      <c r="AB261" s="124">
        <v>0</v>
      </c>
      <c r="AC261" s="126">
        <v>0</v>
      </c>
      <c r="AD261" s="124">
        <v>0</v>
      </c>
      <c r="AE261" s="126">
        <v>5</v>
      </c>
      <c r="AF261" s="124">
        <v>0</v>
      </c>
      <c r="AG261" s="126">
        <v>0</v>
      </c>
      <c r="AH261" s="126">
        <v>0</v>
      </c>
      <c r="AI261" s="126" t="s">
        <v>841</v>
      </c>
      <c r="AJ261" s="126" t="s">
        <v>841</v>
      </c>
      <c r="AK261" s="103">
        <v>48</v>
      </c>
    </row>
    <row r="262" spans="1:37" s="127" customFormat="1" ht="15.75">
      <c r="A262" s="120">
        <v>260</v>
      </c>
      <c r="B262" s="126" t="s">
        <v>565</v>
      </c>
      <c r="C262" s="129" t="s">
        <v>511</v>
      </c>
      <c r="D262" s="122" t="str">
        <f>"9180205"</f>
        <v>9180205</v>
      </c>
      <c r="E262" s="129" t="s">
        <v>467</v>
      </c>
      <c r="F262" s="126" t="s">
        <v>26</v>
      </c>
      <c r="G262" s="129" t="s">
        <v>129</v>
      </c>
      <c r="H262" s="126" t="s">
        <v>129</v>
      </c>
      <c r="I262" s="126"/>
      <c r="J262" s="126"/>
      <c r="K262" s="126"/>
      <c r="L262" s="124"/>
      <c r="M262" s="126"/>
      <c r="N262" s="126"/>
      <c r="O262" s="126"/>
      <c r="P262" s="126"/>
      <c r="Q262" s="126"/>
      <c r="R262" s="126"/>
      <c r="S262" s="126"/>
      <c r="T262" s="124"/>
      <c r="U262" s="126"/>
      <c r="V262" s="126"/>
      <c r="W262" s="126"/>
      <c r="X262" s="126"/>
      <c r="Y262" s="126"/>
      <c r="Z262" s="124">
        <v>0</v>
      </c>
      <c r="AA262" s="126"/>
      <c r="AB262" s="124">
        <v>0</v>
      </c>
      <c r="AC262" s="126"/>
      <c r="AD262" s="124">
        <v>0</v>
      </c>
      <c r="AE262" s="126"/>
      <c r="AF262" s="124">
        <v>0</v>
      </c>
      <c r="AG262" s="126"/>
      <c r="AH262" s="126"/>
      <c r="AI262" s="126"/>
      <c r="AJ262" s="126"/>
      <c r="AK262" s="105"/>
    </row>
    <row r="263" spans="1:37" s="127" customFormat="1" ht="15.75">
      <c r="A263" s="120">
        <v>261</v>
      </c>
      <c r="B263" s="126" t="s">
        <v>565</v>
      </c>
      <c r="C263" s="129" t="s">
        <v>512</v>
      </c>
      <c r="D263" s="122" t="str">
        <f>"9180229"</f>
        <v>9180229</v>
      </c>
      <c r="E263" s="129" t="s">
        <v>467</v>
      </c>
      <c r="F263" s="126" t="s">
        <v>26</v>
      </c>
      <c r="G263" s="129" t="s">
        <v>129</v>
      </c>
      <c r="H263" s="126" t="s">
        <v>129</v>
      </c>
      <c r="I263" s="126">
        <v>10</v>
      </c>
      <c r="J263" s="126">
        <v>3</v>
      </c>
      <c r="K263" s="126">
        <v>6</v>
      </c>
      <c r="L263" s="124">
        <v>3</v>
      </c>
      <c r="M263" s="126">
        <v>2</v>
      </c>
      <c r="N263" s="126">
        <v>1</v>
      </c>
      <c r="O263" s="126">
        <v>5</v>
      </c>
      <c r="P263" s="126"/>
      <c r="Q263" s="126">
        <v>2</v>
      </c>
      <c r="R263" s="126">
        <v>1</v>
      </c>
      <c r="S263" s="126">
        <v>2</v>
      </c>
      <c r="T263" s="124"/>
      <c r="U263" s="126">
        <v>2</v>
      </c>
      <c r="V263" s="126"/>
      <c r="W263" s="126">
        <v>2</v>
      </c>
      <c r="X263" s="126">
        <v>2</v>
      </c>
      <c r="Y263" s="126">
        <v>2</v>
      </c>
      <c r="Z263" s="124">
        <v>1</v>
      </c>
      <c r="AA263" s="126">
        <v>1</v>
      </c>
      <c r="AB263" s="124">
        <v>1</v>
      </c>
      <c r="AC263" s="126">
        <v>1</v>
      </c>
      <c r="AD263" s="124">
        <v>1</v>
      </c>
      <c r="AE263" s="126">
        <v>5</v>
      </c>
      <c r="AF263" s="124">
        <v>0</v>
      </c>
      <c r="AG263" s="126">
        <v>0</v>
      </c>
      <c r="AH263" s="126">
        <v>0</v>
      </c>
      <c r="AI263" s="126"/>
      <c r="AJ263" s="126"/>
      <c r="AK263" s="103">
        <v>175</v>
      </c>
    </row>
    <row r="264" spans="1:37" s="127" customFormat="1" ht="15.75">
      <c r="A264" s="120">
        <v>262</v>
      </c>
      <c r="B264" s="126" t="s">
        <v>565</v>
      </c>
      <c r="C264" s="129" t="s">
        <v>528</v>
      </c>
      <c r="D264" s="122" t="str">
        <f>"9180250"</f>
        <v>9180250</v>
      </c>
      <c r="E264" s="129" t="s">
        <v>467</v>
      </c>
      <c r="F264" s="126" t="s">
        <v>26</v>
      </c>
      <c r="G264" s="129" t="s">
        <v>129</v>
      </c>
      <c r="H264" s="126" t="s">
        <v>129</v>
      </c>
      <c r="I264" s="126"/>
      <c r="J264" s="126"/>
      <c r="K264" s="126"/>
      <c r="L264" s="124"/>
      <c r="M264" s="126"/>
      <c r="N264" s="126"/>
      <c r="O264" s="126"/>
      <c r="P264" s="126"/>
      <c r="Q264" s="126"/>
      <c r="R264" s="126"/>
      <c r="S264" s="126"/>
      <c r="T264" s="124"/>
      <c r="U264" s="126"/>
      <c r="V264" s="126"/>
      <c r="W264" s="126"/>
      <c r="X264" s="126"/>
      <c r="Y264" s="126"/>
      <c r="Z264" s="124">
        <v>0</v>
      </c>
      <c r="AA264" s="126"/>
      <c r="AB264" s="124">
        <v>0</v>
      </c>
      <c r="AC264" s="126"/>
      <c r="AD264" s="124">
        <v>0</v>
      </c>
      <c r="AE264" s="126"/>
      <c r="AF264" s="124">
        <v>0</v>
      </c>
      <c r="AG264" s="126"/>
      <c r="AH264" s="126"/>
      <c r="AI264" s="126"/>
      <c r="AJ264" s="126"/>
      <c r="AK264" s="103">
        <v>64</v>
      </c>
    </row>
    <row r="265" spans="1:37" s="127" customFormat="1" ht="15.75">
      <c r="A265" s="120">
        <v>263</v>
      </c>
      <c r="B265" s="126" t="s">
        <v>565</v>
      </c>
      <c r="C265" s="129" t="s">
        <v>513</v>
      </c>
      <c r="D265" s="122" t="str">
        <f>"9521679"</f>
        <v>9521679</v>
      </c>
      <c r="E265" s="129" t="s">
        <v>467</v>
      </c>
      <c r="F265" s="126" t="s">
        <v>26</v>
      </c>
      <c r="G265" s="129" t="s">
        <v>129</v>
      </c>
      <c r="H265" s="126" t="s">
        <v>129</v>
      </c>
      <c r="I265" s="126">
        <v>2</v>
      </c>
      <c r="J265" s="126">
        <v>1</v>
      </c>
      <c r="K265" s="126">
        <v>5</v>
      </c>
      <c r="L265" s="124">
        <v>2</v>
      </c>
      <c r="M265" s="126">
        <v>1</v>
      </c>
      <c r="N265" s="126">
        <v>1</v>
      </c>
      <c r="O265" s="126">
        <v>4</v>
      </c>
      <c r="P265" s="126"/>
      <c r="Q265" s="126">
        <v>1</v>
      </c>
      <c r="R265" s="126">
        <v>1</v>
      </c>
      <c r="S265" s="126">
        <v>0</v>
      </c>
      <c r="T265" s="124"/>
      <c r="U265" s="126">
        <v>0</v>
      </c>
      <c r="V265" s="126"/>
      <c r="W265" s="126">
        <v>0</v>
      </c>
      <c r="X265" s="126">
        <v>0</v>
      </c>
      <c r="Y265" s="126">
        <v>0</v>
      </c>
      <c r="Z265" s="124">
        <v>0</v>
      </c>
      <c r="AA265" s="126" t="s">
        <v>790</v>
      </c>
      <c r="AB265" s="124">
        <v>0</v>
      </c>
      <c r="AC265" s="126" t="s">
        <v>790</v>
      </c>
      <c r="AD265" s="124">
        <v>0</v>
      </c>
      <c r="AE265" s="126">
        <v>0</v>
      </c>
      <c r="AF265" s="124">
        <v>0</v>
      </c>
      <c r="AG265" s="126">
        <v>0</v>
      </c>
      <c r="AH265" s="126">
        <v>0</v>
      </c>
      <c r="AI265" s="126"/>
      <c r="AJ265" s="126"/>
      <c r="AK265" s="103">
        <v>157</v>
      </c>
    </row>
    <row r="266" spans="1:37" s="127" customFormat="1" ht="15.75">
      <c r="A266" s="120">
        <v>264</v>
      </c>
      <c r="B266" s="126" t="s">
        <v>565</v>
      </c>
      <c r="C266" s="129" t="s">
        <v>520</v>
      </c>
      <c r="D266" s="129"/>
      <c r="E266" s="129" t="s">
        <v>467</v>
      </c>
      <c r="F266" s="126" t="s">
        <v>26</v>
      </c>
      <c r="G266" s="129" t="s">
        <v>129</v>
      </c>
      <c r="H266" s="126" t="s">
        <v>141</v>
      </c>
      <c r="I266" s="126">
        <v>10</v>
      </c>
      <c r="J266" s="126">
        <v>2</v>
      </c>
      <c r="K266" s="126">
        <v>0</v>
      </c>
      <c r="L266" s="124"/>
      <c r="M266" s="126">
        <v>1</v>
      </c>
      <c r="N266" s="126">
        <v>1</v>
      </c>
      <c r="O266" s="126">
        <v>0</v>
      </c>
      <c r="P266" s="126"/>
      <c r="Q266" s="126">
        <v>1</v>
      </c>
      <c r="R266" s="126">
        <v>1</v>
      </c>
      <c r="S266" s="126">
        <v>1</v>
      </c>
      <c r="T266" s="124"/>
      <c r="U266" s="126">
        <v>0</v>
      </c>
      <c r="V266" s="126"/>
      <c r="W266" s="126">
        <v>5</v>
      </c>
      <c r="X266" s="126">
        <v>5</v>
      </c>
      <c r="Y266" s="126">
        <v>1</v>
      </c>
      <c r="Z266" s="124">
        <v>1</v>
      </c>
      <c r="AA266" s="126">
        <v>0</v>
      </c>
      <c r="AB266" s="124">
        <v>0</v>
      </c>
      <c r="AC266" s="126">
        <v>0</v>
      </c>
      <c r="AD266" s="124">
        <v>0</v>
      </c>
      <c r="AE266" s="126">
        <v>14</v>
      </c>
      <c r="AF266" s="124">
        <v>0</v>
      </c>
      <c r="AG266" s="126">
        <v>0</v>
      </c>
      <c r="AH266" s="126">
        <v>0</v>
      </c>
      <c r="AI266" s="126"/>
      <c r="AJ266" s="126"/>
      <c r="AK266" s="103">
        <v>0</v>
      </c>
    </row>
    <row r="267" spans="1:37" s="127" customFormat="1" ht="15.75">
      <c r="A267" s="120">
        <v>265</v>
      </c>
      <c r="B267" s="126" t="s">
        <v>565</v>
      </c>
      <c r="C267" s="129" t="s">
        <v>517</v>
      </c>
      <c r="D267" s="122" t="str">
        <f>"9180035"</f>
        <v>9180035</v>
      </c>
      <c r="E267" s="129" t="s">
        <v>467</v>
      </c>
      <c r="F267" s="126" t="s">
        <v>26</v>
      </c>
      <c r="G267" s="129" t="s">
        <v>131</v>
      </c>
      <c r="H267" s="126" t="s">
        <v>567</v>
      </c>
      <c r="I267" s="126">
        <v>6</v>
      </c>
      <c r="J267" s="126">
        <v>1</v>
      </c>
      <c r="K267" s="126">
        <v>3</v>
      </c>
      <c r="L267" s="124">
        <v>1</v>
      </c>
      <c r="M267" s="126">
        <v>1</v>
      </c>
      <c r="N267" s="126">
        <v>1</v>
      </c>
      <c r="O267" s="126">
        <v>1</v>
      </c>
      <c r="P267" s="126"/>
      <c r="Q267" s="126">
        <v>2</v>
      </c>
      <c r="R267" s="126">
        <v>1</v>
      </c>
      <c r="S267" s="126">
        <v>1</v>
      </c>
      <c r="T267" s="124"/>
      <c r="U267" s="126">
        <v>2</v>
      </c>
      <c r="V267" s="126"/>
      <c r="W267" s="126">
        <v>2</v>
      </c>
      <c r="X267" s="126">
        <v>2</v>
      </c>
      <c r="Y267" s="126">
        <v>1</v>
      </c>
      <c r="Z267" s="124">
        <v>1</v>
      </c>
      <c r="AA267" s="126">
        <v>0</v>
      </c>
      <c r="AB267" s="124">
        <v>0</v>
      </c>
      <c r="AC267" s="126">
        <v>0</v>
      </c>
      <c r="AD267" s="124">
        <v>0</v>
      </c>
      <c r="AE267" s="126">
        <v>1</v>
      </c>
      <c r="AF267" s="124">
        <v>0</v>
      </c>
      <c r="AG267" s="126">
        <v>1</v>
      </c>
      <c r="AH267" s="126">
        <v>0</v>
      </c>
      <c r="AI267" s="126"/>
      <c r="AJ267" s="126"/>
      <c r="AK267" s="111">
        <v>139</v>
      </c>
    </row>
    <row r="268" spans="1:37" s="127" customFormat="1" ht="15.75">
      <c r="A268" s="120">
        <v>266</v>
      </c>
      <c r="B268" s="126" t="s">
        <v>565</v>
      </c>
      <c r="C268" s="129" t="s">
        <v>506</v>
      </c>
      <c r="D268" s="122" t="str">
        <f>"9180058"</f>
        <v>9180058</v>
      </c>
      <c r="E268" s="129" t="s">
        <v>467</v>
      </c>
      <c r="F268" s="126" t="s">
        <v>26</v>
      </c>
      <c r="G268" s="129" t="s">
        <v>131</v>
      </c>
      <c r="H268" s="126" t="s">
        <v>135</v>
      </c>
      <c r="I268" s="126"/>
      <c r="J268" s="126"/>
      <c r="K268" s="126"/>
      <c r="L268" s="124"/>
      <c r="M268" s="126"/>
      <c r="N268" s="126"/>
      <c r="O268" s="126"/>
      <c r="P268" s="126"/>
      <c r="Q268" s="126"/>
      <c r="R268" s="126"/>
      <c r="S268" s="126"/>
      <c r="T268" s="124"/>
      <c r="U268" s="126"/>
      <c r="V268" s="126"/>
      <c r="W268" s="126"/>
      <c r="X268" s="126"/>
      <c r="Y268" s="126"/>
      <c r="Z268" s="124">
        <v>0</v>
      </c>
      <c r="AA268" s="126"/>
      <c r="AB268" s="124">
        <v>0</v>
      </c>
      <c r="AC268" s="126"/>
      <c r="AD268" s="124">
        <v>0</v>
      </c>
      <c r="AE268" s="126"/>
      <c r="AF268" s="124">
        <v>0</v>
      </c>
      <c r="AG268" s="126"/>
      <c r="AH268" s="126"/>
      <c r="AI268" s="126"/>
      <c r="AJ268" s="126"/>
      <c r="AK268" s="103">
        <v>170</v>
      </c>
    </row>
    <row r="269" spans="1:37" s="127" customFormat="1" ht="15.75">
      <c r="A269" s="120">
        <v>267</v>
      </c>
      <c r="B269" s="126" t="s">
        <v>565</v>
      </c>
      <c r="C269" s="129" t="s">
        <v>529</v>
      </c>
      <c r="D269" s="122" t="str">
        <f>"9180067"</f>
        <v>9180067</v>
      </c>
      <c r="E269" s="129" t="s">
        <v>467</v>
      </c>
      <c r="F269" s="126" t="s">
        <v>26</v>
      </c>
      <c r="G269" s="129" t="s">
        <v>131</v>
      </c>
      <c r="H269" s="126"/>
      <c r="I269" s="126">
        <v>0</v>
      </c>
      <c r="J269" s="126">
        <v>0</v>
      </c>
      <c r="K269" s="126">
        <v>0</v>
      </c>
      <c r="L269" s="124"/>
      <c r="M269" s="126">
        <v>0</v>
      </c>
      <c r="N269" s="126"/>
      <c r="O269" s="126">
        <v>0</v>
      </c>
      <c r="P269" s="126"/>
      <c r="Q269" s="126">
        <v>0</v>
      </c>
      <c r="R269" s="126"/>
      <c r="S269" s="126">
        <v>0</v>
      </c>
      <c r="T269" s="124"/>
      <c r="U269" s="126">
        <v>0</v>
      </c>
      <c r="V269" s="126"/>
      <c r="W269" s="126">
        <v>0</v>
      </c>
      <c r="X269" s="126">
        <v>0</v>
      </c>
      <c r="Y269" s="126">
        <v>0</v>
      </c>
      <c r="Z269" s="124">
        <v>0</v>
      </c>
      <c r="AA269" s="126">
        <v>0</v>
      </c>
      <c r="AB269" s="124">
        <v>0</v>
      </c>
      <c r="AC269" s="126">
        <v>0</v>
      </c>
      <c r="AD269" s="124">
        <v>0</v>
      </c>
      <c r="AE269" s="126">
        <v>0</v>
      </c>
      <c r="AF269" s="124">
        <v>0</v>
      </c>
      <c r="AG269" s="126">
        <v>0</v>
      </c>
      <c r="AH269" s="126">
        <v>0</v>
      </c>
      <c r="AI269" s="126"/>
      <c r="AJ269" s="126"/>
      <c r="AK269" s="103">
        <v>17</v>
      </c>
    </row>
    <row r="270" spans="1:37" s="127" customFormat="1" ht="15.75">
      <c r="A270" s="120">
        <v>268</v>
      </c>
      <c r="B270" s="126" t="s">
        <v>565</v>
      </c>
      <c r="C270" s="129" t="s">
        <v>526</v>
      </c>
      <c r="D270" s="122" t="str">
        <f>"9180069"</f>
        <v>9180069</v>
      </c>
      <c r="E270" s="129" t="s">
        <v>467</v>
      </c>
      <c r="F270" s="126" t="s">
        <v>26</v>
      </c>
      <c r="G270" s="129" t="s">
        <v>131</v>
      </c>
      <c r="H270" s="126" t="s">
        <v>132</v>
      </c>
      <c r="I270" s="126"/>
      <c r="J270" s="126"/>
      <c r="K270" s="126">
        <v>1</v>
      </c>
      <c r="L270" s="124">
        <v>1</v>
      </c>
      <c r="M270" s="126">
        <v>2</v>
      </c>
      <c r="N270" s="126">
        <v>1</v>
      </c>
      <c r="O270" s="126">
        <v>2</v>
      </c>
      <c r="P270" s="126"/>
      <c r="Q270" s="126">
        <v>2</v>
      </c>
      <c r="R270" s="126">
        <v>1</v>
      </c>
      <c r="S270" s="126">
        <v>2</v>
      </c>
      <c r="T270" s="124"/>
      <c r="U270" s="126">
        <v>2</v>
      </c>
      <c r="V270" s="126"/>
      <c r="W270" s="126">
        <v>2</v>
      </c>
      <c r="X270" s="126">
        <v>2</v>
      </c>
      <c r="Y270" s="126"/>
      <c r="Z270" s="124">
        <v>0</v>
      </c>
      <c r="AA270" s="126">
        <v>0</v>
      </c>
      <c r="AB270" s="124">
        <v>0</v>
      </c>
      <c r="AC270" s="126">
        <v>0</v>
      </c>
      <c r="AD270" s="124">
        <v>0</v>
      </c>
      <c r="AE270" s="126">
        <v>4</v>
      </c>
      <c r="AF270" s="124">
        <v>0</v>
      </c>
      <c r="AG270" s="126">
        <v>0</v>
      </c>
      <c r="AH270" s="126">
        <v>0</v>
      </c>
      <c r="AI270" s="126" t="s">
        <v>841</v>
      </c>
      <c r="AJ270" s="126" t="s">
        <v>841</v>
      </c>
      <c r="AK270" s="103">
        <v>60</v>
      </c>
    </row>
    <row r="271" spans="1:37" s="127" customFormat="1" ht="15.75">
      <c r="A271" s="120">
        <v>269</v>
      </c>
      <c r="B271" s="126" t="s">
        <v>565</v>
      </c>
      <c r="C271" s="129" t="s">
        <v>523</v>
      </c>
      <c r="D271" s="122" t="str">
        <f>"9180093"</f>
        <v>9180093</v>
      </c>
      <c r="E271" s="129" t="s">
        <v>467</v>
      </c>
      <c r="F271" s="126" t="s">
        <v>26</v>
      </c>
      <c r="G271" s="129" t="s">
        <v>131</v>
      </c>
      <c r="H271" s="126" t="s">
        <v>571</v>
      </c>
      <c r="I271" s="126">
        <v>0</v>
      </c>
      <c r="J271" s="126">
        <v>0</v>
      </c>
      <c r="K271" s="126">
        <v>0</v>
      </c>
      <c r="L271" s="124"/>
      <c r="M271" s="126">
        <v>0</v>
      </c>
      <c r="N271" s="126"/>
      <c r="O271" s="126">
        <v>1</v>
      </c>
      <c r="P271" s="126">
        <v>1</v>
      </c>
      <c r="Q271" s="126">
        <v>0</v>
      </c>
      <c r="R271" s="126"/>
      <c r="S271" s="126">
        <v>0</v>
      </c>
      <c r="T271" s="124"/>
      <c r="U271" s="126">
        <v>1</v>
      </c>
      <c r="V271" s="126">
        <v>1</v>
      </c>
      <c r="W271" s="126">
        <v>0</v>
      </c>
      <c r="X271" s="126">
        <v>0</v>
      </c>
      <c r="Y271" s="126">
        <v>0</v>
      </c>
      <c r="Z271" s="124">
        <v>0</v>
      </c>
      <c r="AA271" s="126">
        <v>0</v>
      </c>
      <c r="AB271" s="124">
        <v>0</v>
      </c>
      <c r="AC271" s="126">
        <v>0</v>
      </c>
      <c r="AD271" s="124">
        <v>0</v>
      </c>
      <c r="AE271" s="126">
        <v>0</v>
      </c>
      <c r="AF271" s="124">
        <v>0</v>
      </c>
      <c r="AG271" s="126">
        <v>0</v>
      </c>
      <c r="AH271" s="126">
        <v>0</v>
      </c>
      <c r="AI271" s="126"/>
      <c r="AJ271" s="126"/>
      <c r="AK271" s="103">
        <v>154</v>
      </c>
    </row>
    <row r="272" spans="1:37" s="127" customFormat="1" ht="15.75">
      <c r="A272" s="120">
        <v>270</v>
      </c>
      <c r="B272" s="126" t="s">
        <v>565</v>
      </c>
      <c r="C272" s="129" t="s">
        <v>510</v>
      </c>
      <c r="D272" s="122" t="str">
        <f>"9180132"</f>
        <v>9180132</v>
      </c>
      <c r="E272" s="129" t="s">
        <v>467</v>
      </c>
      <c r="F272" s="126" t="s">
        <v>26</v>
      </c>
      <c r="G272" s="129" t="s">
        <v>131</v>
      </c>
      <c r="H272" s="126" t="s">
        <v>134</v>
      </c>
      <c r="I272" s="126"/>
      <c r="J272" s="126"/>
      <c r="K272" s="126"/>
      <c r="L272" s="124"/>
      <c r="M272" s="126"/>
      <c r="N272" s="126"/>
      <c r="O272" s="126"/>
      <c r="P272" s="126"/>
      <c r="Q272" s="126"/>
      <c r="R272" s="126"/>
      <c r="S272" s="126"/>
      <c r="T272" s="124"/>
      <c r="U272" s="126"/>
      <c r="V272" s="126"/>
      <c r="W272" s="126"/>
      <c r="X272" s="126"/>
      <c r="Y272" s="126"/>
      <c r="Z272" s="124">
        <v>0</v>
      </c>
      <c r="AA272" s="126"/>
      <c r="AB272" s="124">
        <v>0</v>
      </c>
      <c r="AC272" s="126"/>
      <c r="AD272" s="124">
        <v>0</v>
      </c>
      <c r="AE272" s="126"/>
      <c r="AF272" s="124">
        <v>0</v>
      </c>
      <c r="AG272" s="126"/>
      <c r="AH272" s="126"/>
      <c r="AI272" s="126"/>
      <c r="AJ272" s="126"/>
      <c r="AK272" s="103">
        <v>63</v>
      </c>
    </row>
    <row r="273" spans="1:37" s="127" customFormat="1" ht="15.75">
      <c r="A273" s="120">
        <v>271</v>
      </c>
      <c r="B273" s="126" t="s">
        <v>565</v>
      </c>
      <c r="C273" s="129" t="s">
        <v>507</v>
      </c>
      <c r="D273" s="122" t="str">
        <f>"9180136"</f>
        <v>9180136</v>
      </c>
      <c r="E273" s="129" t="s">
        <v>467</v>
      </c>
      <c r="F273" s="126" t="s">
        <v>26</v>
      </c>
      <c r="G273" s="129" t="s">
        <v>130</v>
      </c>
      <c r="H273" s="126" t="s">
        <v>130</v>
      </c>
      <c r="I273" s="126"/>
      <c r="J273" s="126"/>
      <c r="K273" s="126">
        <v>1</v>
      </c>
      <c r="L273" s="124">
        <v>1</v>
      </c>
      <c r="M273" s="126">
        <v>2</v>
      </c>
      <c r="N273" s="126">
        <v>1</v>
      </c>
      <c r="O273" s="126">
        <v>1</v>
      </c>
      <c r="P273" s="126"/>
      <c r="Q273" s="126">
        <v>1</v>
      </c>
      <c r="R273" s="126">
        <v>1</v>
      </c>
      <c r="S273" s="126">
        <v>1</v>
      </c>
      <c r="T273" s="124"/>
      <c r="U273" s="126">
        <v>1</v>
      </c>
      <c r="V273" s="126"/>
      <c r="W273" s="126">
        <v>1</v>
      </c>
      <c r="X273" s="126">
        <v>1</v>
      </c>
      <c r="Y273" s="126"/>
      <c r="Z273" s="124">
        <v>0</v>
      </c>
      <c r="AA273" s="126">
        <v>0</v>
      </c>
      <c r="AB273" s="124">
        <v>0</v>
      </c>
      <c r="AC273" s="126">
        <v>0</v>
      </c>
      <c r="AD273" s="124">
        <v>0</v>
      </c>
      <c r="AE273" s="126">
        <v>0</v>
      </c>
      <c r="AF273" s="124">
        <v>0</v>
      </c>
      <c r="AG273" s="126">
        <v>0</v>
      </c>
      <c r="AH273" s="126">
        <v>0</v>
      </c>
      <c r="AI273" s="126" t="s">
        <v>841</v>
      </c>
      <c r="AJ273" s="126" t="s">
        <v>841</v>
      </c>
      <c r="AK273" s="103">
        <v>162</v>
      </c>
    </row>
    <row r="274" spans="1:37" s="127" customFormat="1" ht="15.75">
      <c r="A274" s="120">
        <v>272</v>
      </c>
      <c r="B274" s="126" t="s">
        <v>565</v>
      </c>
      <c r="C274" s="129" t="s">
        <v>509</v>
      </c>
      <c r="D274" s="122" t="str">
        <f>"9180138"</f>
        <v>9180138</v>
      </c>
      <c r="E274" s="129" t="s">
        <v>467</v>
      </c>
      <c r="F274" s="126" t="s">
        <v>26</v>
      </c>
      <c r="G274" s="129" t="s">
        <v>130</v>
      </c>
      <c r="H274" s="126" t="s">
        <v>130</v>
      </c>
      <c r="I274" s="126">
        <v>6</v>
      </c>
      <c r="J274" s="126">
        <v>2</v>
      </c>
      <c r="K274" s="126">
        <v>2</v>
      </c>
      <c r="L274" s="124">
        <v>1</v>
      </c>
      <c r="M274" s="126">
        <v>1</v>
      </c>
      <c r="N274" s="126">
        <v>1</v>
      </c>
      <c r="O274" s="126">
        <v>2</v>
      </c>
      <c r="P274" s="126"/>
      <c r="Q274" s="126">
        <v>1</v>
      </c>
      <c r="R274" s="126">
        <v>1</v>
      </c>
      <c r="S274" s="126">
        <v>1</v>
      </c>
      <c r="T274" s="124"/>
      <c r="U274" s="126">
        <v>1</v>
      </c>
      <c r="V274" s="126"/>
      <c r="W274" s="126">
        <v>0</v>
      </c>
      <c r="X274" s="126">
        <v>0</v>
      </c>
      <c r="Y274" s="126">
        <v>1</v>
      </c>
      <c r="Z274" s="124">
        <v>1</v>
      </c>
      <c r="AA274" s="126">
        <v>0</v>
      </c>
      <c r="AB274" s="124">
        <v>0</v>
      </c>
      <c r="AC274" s="126">
        <v>0</v>
      </c>
      <c r="AD274" s="124">
        <v>0</v>
      </c>
      <c r="AE274" s="126">
        <v>3</v>
      </c>
      <c r="AF274" s="124">
        <v>0</v>
      </c>
      <c r="AG274" s="126">
        <v>0</v>
      </c>
      <c r="AH274" s="126">
        <v>0</v>
      </c>
      <c r="AI274" s="126"/>
      <c r="AJ274" s="126"/>
      <c r="AK274" s="103">
        <v>171</v>
      </c>
    </row>
    <row r="275" spans="1:37" s="127" customFormat="1" ht="15.75">
      <c r="A275" s="120">
        <v>273</v>
      </c>
      <c r="B275" s="126" t="s">
        <v>565</v>
      </c>
      <c r="C275" s="129" t="s">
        <v>519</v>
      </c>
      <c r="D275" s="122" t="str">
        <f>"9180167"</f>
        <v>9180167</v>
      </c>
      <c r="E275" s="129" t="s">
        <v>467</v>
      </c>
      <c r="F275" s="126" t="s">
        <v>26</v>
      </c>
      <c r="G275" s="129" t="s">
        <v>130</v>
      </c>
      <c r="H275" s="126" t="s">
        <v>570</v>
      </c>
      <c r="I275" s="126"/>
      <c r="J275" s="126"/>
      <c r="K275" s="126"/>
      <c r="L275" s="124"/>
      <c r="M275" s="126"/>
      <c r="N275" s="126"/>
      <c r="O275" s="126"/>
      <c r="P275" s="126"/>
      <c r="Q275" s="126"/>
      <c r="R275" s="126"/>
      <c r="S275" s="126"/>
      <c r="T275" s="124"/>
      <c r="U275" s="126"/>
      <c r="V275" s="126"/>
      <c r="W275" s="126"/>
      <c r="X275" s="126"/>
      <c r="Y275" s="126"/>
      <c r="Z275" s="124">
        <v>0</v>
      </c>
      <c r="AA275" s="126"/>
      <c r="AB275" s="124">
        <v>0</v>
      </c>
      <c r="AC275" s="126"/>
      <c r="AD275" s="124">
        <v>0</v>
      </c>
      <c r="AE275" s="126"/>
      <c r="AF275" s="124">
        <v>0</v>
      </c>
      <c r="AG275" s="126"/>
      <c r="AH275" s="126"/>
      <c r="AI275" s="126"/>
      <c r="AJ275" s="126"/>
      <c r="AK275" s="103">
        <v>52</v>
      </c>
    </row>
    <row r="276" spans="1:37" s="127" customFormat="1" ht="15.75">
      <c r="A276" s="120">
        <v>274</v>
      </c>
      <c r="B276" s="126" t="s">
        <v>565</v>
      </c>
      <c r="C276" s="129" t="s">
        <v>514</v>
      </c>
      <c r="D276" s="122" t="str">
        <f>"9180189"</f>
        <v>9180189</v>
      </c>
      <c r="E276" s="129" t="s">
        <v>467</v>
      </c>
      <c r="F276" s="126" t="s">
        <v>26</v>
      </c>
      <c r="G276" s="129" t="s">
        <v>130</v>
      </c>
      <c r="H276" s="126" t="s">
        <v>566</v>
      </c>
      <c r="I276" s="126"/>
      <c r="J276" s="126"/>
      <c r="K276" s="126"/>
      <c r="L276" s="124"/>
      <c r="M276" s="126"/>
      <c r="N276" s="126"/>
      <c r="O276" s="126"/>
      <c r="P276" s="126"/>
      <c r="Q276" s="126"/>
      <c r="R276" s="126"/>
      <c r="S276" s="126"/>
      <c r="T276" s="124"/>
      <c r="U276" s="126"/>
      <c r="V276" s="126"/>
      <c r="W276" s="126"/>
      <c r="X276" s="126"/>
      <c r="Y276" s="126"/>
      <c r="Z276" s="124">
        <v>0</v>
      </c>
      <c r="AA276" s="126"/>
      <c r="AB276" s="124">
        <v>0</v>
      </c>
      <c r="AC276" s="126"/>
      <c r="AD276" s="124">
        <v>0</v>
      </c>
      <c r="AE276" s="126"/>
      <c r="AF276" s="124">
        <v>0</v>
      </c>
      <c r="AG276" s="126"/>
      <c r="AH276" s="126"/>
      <c r="AI276" s="126"/>
      <c r="AJ276" s="126"/>
      <c r="AK276" s="103">
        <v>129</v>
      </c>
    </row>
    <row r="277" spans="1:37" s="127" customFormat="1" ht="15.75">
      <c r="A277" s="120">
        <v>275</v>
      </c>
      <c r="B277" s="126" t="s">
        <v>565</v>
      </c>
      <c r="C277" s="129" t="s">
        <v>531</v>
      </c>
      <c r="D277" s="122" t="str">
        <f>"9180002"</f>
        <v>9180002</v>
      </c>
      <c r="E277" s="129" t="s">
        <v>468</v>
      </c>
      <c r="F277" s="126" t="s">
        <v>26</v>
      </c>
      <c r="G277" s="129" t="s">
        <v>129</v>
      </c>
      <c r="H277" s="126" t="s">
        <v>129</v>
      </c>
      <c r="I277" s="126">
        <v>3</v>
      </c>
      <c r="J277" s="126">
        <v>1</v>
      </c>
      <c r="K277" s="126">
        <v>3</v>
      </c>
      <c r="L277" s="124">
        <v>1</v>
      </c>
      <c r="M277" s="126">
        <v>0</v>
      </c>
      <c r="N277" s="126">
        <v>0</v>
      </c>
      <c r="O277" s="126">
        <v>2</v>
      </c>
      <c r="P277" s="126">
        <v>1</v>
      </c>
      <c r="Q277" s="126">
        <v>2</v>
      </c>
      <c r="R277" s="126"/>
      <c r="S277" s="126">
        <v>1</v>
      </c>
      <c r="T277" s="124"/>
      <c r="U277" s="126">
        <v>2</v>
      </c>
      <c r="V277" s="126">
        <v>1</v>
      </c>
      <c r="W277" s="126">
        <v>1</v>
      </c>
      <c r="X277" s="126">
        <v>1</v>
      </c>
      <c r="Y277" s="126">
        <v>1</v>
      </c>
      <c r="Z277" s="124">
        <v>0</v>
      </c>
      <c r="AA277" s="126">
        <v>0</v>
      </c>
      <c r="AB277" s="124"/>
      <c r="AC277" s="126">
        <v>0</v>
      </c>
      <c r="AD277" s="124">
        <v>0</v>
      </c>
      <c r="AE277" s="126">
        <v>3</v>
      </c>
      <c r="AF277" s="124">
        <v>0</v>
      </c>
      <c r="AG277" s="126">
        <v>3</v>
      </c>
      <c r="AH277" s="126">
        <v>3</v>
      </c>
      <c r="AI277" s="126"/>
      <c r="AJ277" s="126"/>
      <c r="AK277" s="103">
        <v>5</v>
      </c>
    </row>
    <row r="278" spans="1:37" s="127" customFormat="1" ht="15.75">
      <c r="A278" s="120">
        <v>276</v>
      </c>
      <c r="B278" s="126" t="s">
        <v>565</v>
      </c>
      <c r="C278" s="129" t="s">
        <v>541</v>
      </c>
      <c r="D278" s="122" t="str">
        <f>"9180004"</f>
        <v>9180004</v>
      </c>
      <c r="E278" s="129" t="s">
        <v>468</v>
      </c>
      <c r="F278" s="126" t="s">
        <v>26</v>
      </c>
      <c r="G278" s="129" t="s">
        <v>129</v>
      </c>
      <c r="H278" s="126" t="s">
        <v>129</v>
      </c>
      <c r="I278" s="126"/>
      <c r="J278" s="126">
        <v>0</v>
      </c>
      <c r="K278" s="126"/>
      <c r="L278" s="124"/>
      <c r="M278" s="126"/>
      <c r="N278" s="126">
        <v>0</v>
      </c>
      <c r="O278" s="126"/>
      <c r="P278" s="126"/>
      <c r="Q278" s="126"/>
      <c r="R278" s="126"/>
      <c r="S278" s="126"/>
      <c r="T278" s="124"/>
      <c r="U278" s="126"/>
      <c r="V278" s="126"/>
      <c r="W278" s="126"/>
      <c r="X278" s="126"/>
      <c r="Y278" s="126"/>
      <c r="Z278" s="124">
        <v>0</v>
      </c>
      <c r="AA278" s="126"/>
      <c r="AB278" s="124"/>
      <c r="AC278" s="126"/>
      <c r="AD278" s="124">
        <v>0</v>
      </c>
      <c r="AE278" s="126"/>
      <c r="AF278" s="124">
        <v>0</v>
      </c>
      <c r="AG278" s="126"/>
      <c r="AH278" s="126"/>
      <c r="AI278" s="126"/>
      <c r="AJ278" s="126"/>
      <c r="AK278" s="105"/>
    </row>
    <row r="279" spans="1:37" s="127" customFormat="1" ht="15.75">
      <c r="A279" s="120">
        <v>277</v>
      </c>
      <c r="B279" s="126" t="s">
        <v>565</v>
      </c>
      <c r="C279" s="129" t="s">
        <v>533</v>
      </c>
      <c r="D279" s="122" t="str">
        <f>"9180017"</f>
        <v>9180017</v>
      </c>
      <c r="E279" s="129" t="s">
        <v>468</v>
      </c>
      <c r="F279" s="126" t="s">
        <v>26</v>
      </c>
      <c r="G279" s="129" t="s">
        <v>129</v>
      </c>
      <c r="H279" s="126" t="s">
        <v>568</v>
      </c>
      <c r="I279" s="126">
        <v>0</v>
      </c>
      <c r="J279" s="126">
        <v>0</v>
      </c>
      <c r="K279" s="126">
        <v>0</v>
      </c>
      <c r="L279" s="124"/>
      <c r="M279" s="126">
        <v>0</v>
      </c>
      <c r="N279" s="126">
        <v>0</v>
      </c>
      <c r="O279" s="126">
        <v>0</v>
      </c>
      <c r="P279" s="126"/>
      <c r="Q279" s="126">
        <v>0</v>
      </c>
      <c r="R279" s="126"/>
      <c r="S279" s="126">
        <v>0</v>
      </c>
      <c r="T279" s="124"/>
      <c r="U279" s="126">
        <v>0</v>
      </c>
      <c r="V279" s="126"/>
      <c r="W279" s="126">
        <v>0</v>
      </c>
      <c r="X279" s="126">
        <v>0</v>
      </c>
      <c r="Y279" s="126">
        <v>0</v>
      </c>
      <c r="Z279" s="124">
        <v>0</v>
      </c>
      <c r="AA279" s="126">
        <v>0</v>
      </c>
      <c r="AB279" s="124"/>
      <c r="AC279" s="126">
        <v>0</v>
      </c>
      <c r="AD279" s="124">
        <v>0</v>
      </c>
      <c r="AE279" s="126">
        <v>1</v>
      </c>
      <c r="AF279" s="124">
        <v>0</v>
      </c>
      <c r="AG279" s="126">
        <v>1</v>
      </c>
      <c r="AH279" s="126">
        <v>1</v>
      </c>
      <c r="AI279" s="126"/>
      <c r="AJ279" s="126"/>
      <c r="AK279" s="103">
        <v>27</v>
      </c>
    </row>
    <row r="280" spans="1:37" s="127" customFormat="1" ht="15.75">
      <c r="A280" s="120">
        <v>278</v>
      </c>
      <c r="B280" s="126" t="s">
        <v>565</v>
      </c>
      <c r="C280" s="129" t="s">
        <v>552</v>
      </c>
      <c r="D280" s="122" t="str">
        <f>"9180018"</f>
        <v>9180018</v>
      </c>
      <c r="E280" s="129" t="s">
        <v>468</v>
      </c>
      <c r="F280" s="126" t="s">
        <v>26</v>
      </c>
      <c r="G280" s="129" t="s">
        <v>129</v>
      </c>
      <c r="H280" s="126" t="s">
        <v>578</v>
      </c>
      <c r="I280" s="126">
        <v>0</v>
      </c>
      <c r="J280" s="126">
        <v>0</v>
      </c>
      <c r="K280" s="126">
        <v>0</v>
      </c>
      <c r="L280" s="124"/>
      <c r="M280" s="126">
        <v>0</v>
      </c>
      <c r="N280" s="126">
        <v>0</v>
      </c>
      <c r="O280" s="126">
        <v>0</v>
      </c>
      <c r="P280" s="126"/>
      <c r="Q280" s="126">
        <v>1</v>
      </c>
      <c r="R280" s="126"/>
      <c r="S280" s="126">
        <v>0</v>
      </c>
      <c r="T280" s="124"/>
      <c r="U280" s="126">
        <v>0</v>
      </c>
      <c r="V280" s="126">
        <v>1</v>
      </c>
      <c r="W280" s="126">
        <v>1</v>
      </c>
      <c r="X280" s="126">
        <v>1</v>
      </c>
      <c r="Y280" s="126">
        <v>0</v>
      </c>
      <c r="Z280" s="124">
        <v>0</v>
      </c>
      <c r="AA280" s="126">
        <v>0</v>
      </c>
      <c r="AB280" s="124"/>
      <c r="AC280" s="126">
        <v>0</v>
      </c>
      <c r="AD280" s="124">
        <v>0</v>
      </c>
      <c r="AE280" s="126">
        <v>0</v>
      </c>
      <c r="AF280" s="124">
        <v>0</v>
      </c>
      <c r="AG280" s="126">
        <v>1</v>
      </c>
      <c r="AH280" s="126">
        <v>1</v>
      </c>
      <c r="AI280" s="126"/>
      <c r="AJ280" s="126"/>
      <c r="AK280" s="103">
        <v>5</v>
      </c>
    </row>
    <row r="281" spans="1:37" s="127" customFormat="1" ht="15.75">
      <c r="A281" s="120">
        <v>279</v>
      </c>
      <c r="B281" s="126" t="s">
        <v>565</v>
      </c>
      <c r="C281" s="129" t="s">
        <v>534</v>
      </c>
      <c r="D281" s="122" t="str">
        <f>"9180026"</f>
        <v>9180026</v>
      </c>
      <c r="E281" s="129" t="s">
        <v>468</v>
      </c>
      <c r="F281" s="126" t="s">
        <v>26</v>
      </c>
      <c r="G281" s="129" t="s">
        <v>129</v>
      </c>
      <c r="H281" s="126" t="s">
        <v>138</v>
      </c>
      <c r="I281" s="126">
        <v>1</v>
      </c>
      <c r="J281" s="126">
        <v>0</v>
      </c>
      <c r="K281" s="126">
        <v>1</v>
      </c>
      <c r="L281" s="124">
        <v>1</v>
      </c>
      <c r="M281" s="126">
        <v>1</v>
      </c>
      <c r="N281" s="126">
        <v>1</v>
      </c>
      <c r="O281" s="126">
        <v>1</v>
      </c>
      <c r="P281" s="126"/>
      <c r="Q281" s="126">
        <v>0</v>
      </c>
      <c r="R281" s="126"/>
      <c r="S281" s="126">
        <v>0</v>
      </c>
      <c r="T281" s="124"/>
      <c r="U281" s="126">
        <v>1</v>
      </c>
      <c r="V281" s="126">
        <v>1</v>
      </c>
      <c r="W281" s="126">
        <v>1</v>
      </c>
      <c r="X281" s="126">
        <v>1</v>
      </c>
      <c r="Y281" s="126">
        <v>1</v>
      </c>
      <c r="Z281" s="124">
        <v>0</v>
      </c>
      <c r="AA281" s="126">
        <v>0</v>
      </c>
      <c r="AB281" s="124"/>
      <c r="AC281" s="126">
        <v>0</v>
      </c>
      <c r="AD281" s="124">
        <v>0</v>
      </c>
      <c r="AE281" s="126">
        <v>1</v>
      </c>
      <c r="AF281" s="124">
        <v>0</v>
      </c>
      <c r="AG281" s="126">
        <v>1</v>
      </c>
      <c r="AH281" s="126">
        <v>1</v>
      </c>
      <c r="AI281" s="126"/>
      <c r="AJ281" s="126"/>
      <c r="AK281" s="103">
        <v>18</v>
      </c>
    </row>
    <row r="282" spans="1:37" s="127" customFormat="1" ht="15.75">
      <c r="A282" s="120">
        <v>280</v>
      </c>
      <c r="B282" s="126" t="s">
        <v>565</v>
      </c>
      <c r="C282" s="129" t="s">
        <v>538</v>
      </c>
      <c r="D282" s="122" t="str">
        <f>"9180028"</f>
        <v>9180028</v>
      </c>
      <c r="E282" s="129" t="s">
        <v>468</v>
      </c>
      <c r="F282" s="126" t="s">
        <v>26</v>
      </c>
      <c r="G282" s="129" t="s">
        <v>129</v>
      </c>
      <c r="H282" s="126" t="s">
        <v>137</v>
      </c>
      <c r="I282" s="126"/>
      <c r="J282" s="126">
        <v>0</v>
      </c>
      <c r="K282" s="126"/>
      <c r="L282" s="124"/>
      <c r="M282" s="126"/>
      <c r="N282" s="126">
        <v>0</v>
      </c>
      <c r="O282" s="126"/>
      <c r="P282" s="126"/>
      <c r="Q282" s="126"/>
      <c r="R282" s="126"/>
      <c r="S282" s="126"/>
      <c r="T282" s="124"/>
      <c r="U282" s="126"/>
      <c r="V282" s="126"/>
      <c r="W282" s="126"/>
      <c r="X282" s="126"/>
      <c r="Y282" s="126"/>
      <c r="Z282" s="124">
        <v>0</v>
      </c>
      <c r="AA282" s="126"/>
      <c r="AB282" s="124"/>
      <c r="AC282" s="126"/>
      <c r="AD282" s="124">
        <v>0</v>
      </c>
      <c r="AE282" s="126"/>
      <c r="AF282" s="124">
        <v>0</v>
      </c>
      <c r="AG282" s="126"/>
      <c r="AH282" s="126"/>
      <c r="AI282" s="126"/>
      <c r="AJ282" s="126"/>
      <c r="AK282" s="103">
        <v>10</v>
      </c>
    </row>
    <row r="283" spans="1:37" s="127" customFormat="1" ht="15.75">
      <c r="A283" s="120">
        <v>281</v>
      </c>
      <c r="B283" s="126" t="s">
        <v>565</v>
      </c>
      <c r="C283" s="129" t="s">
        <v>537</v>
      </c>
      <c r="D283" s="122" t="str">
        <f>"9180045"</f>
        <v>9180045</v>
      </c>
      <c r="E283" s="129" t="s">
        <v>468</v>
      </c>
      <c r="F283" s="126" t="s">
        <v>26</v>
      </c>
      <c r="G283" s="129" t="s">
        <v>129</v>
      </c>
      <c r="H283" s="126" t="s">
        <v>133</v>
      </c>
      <c r="I283" s="126">
        <v>1</v>
      </c>
      <c r="J283" s="126">
        <v>0</v>
      </c>
      <c r="K283" s="126">
        <v>0</v>
      </c>
      <c r="L283" s="124"/>
      <c r="M283" s="126">
        <v>1</v>
      </c>
      <c r="N283" s="126">
        <v>1</v>
      </c>
      <c r="O283" s="126">
        <v>0</v>
      </c>
      <c r="P283" s="126"/>
      <c r="Q283" s="126">
        <v>0</v>
      </c>
      <c r="R283" s="126"/>
      <c r="S283" s="126">
        <v>0</v>
      </c>
      <c r="T283" s="124"/>
      <c r="U283" s="126">
        <v>1</v>
      </c>
      <c r="V283" s="126">
        <v>1</v>
      </c>
      <c r="W283" s="126">
        <v>0</v>
      </c>
      <c r="X283" s="126">
        <v>0</v>
      </c>
      <c r="Y283" s="126">
        <v>0</v>
      </c>
      <c r="Z283" s="124">
        <v>0</v>
      </c>
      <c r="AA283" s="126">
        <v>0</v>
      </c>
      <c r="AB283" s="124"/>
      <c r="AC283" s="126">
        <v>0</v>
      </c>
      <c r="AD283" s="124">
        <v>0</v>
      </c>
      <c r="AE283" s="126">
        <v>0</v>
      </c>
      <c r="AF283" s="124">
        <v>0</v>
      </c>
      <c r="AG283" s="126">
        <v>0</v>
      </c>
      <c r="AH283" s="126">
        <v>0</v>
      </c>
      <c r="AI283" s="126"/>
      <c r="AJ283" s="126"/>
      <c r="AK283" s="105"/>
    </row>
    <row r="284" spans="1:37" s="127" customFormat="1" ht="15.75">
      <c r="A284" s="120">
        <v>282</v>
      </c>
      <c r="B284" s="126" t="s">
        <v>565</v>
      </c>
      <c r="C284" s="129" t="s">
        <v>539</v>
      </c>
      <c r="D284" s="122" t="str">
        <f>"9180050"</f>
        <v>9180050</v>
      </c>
      <c r="E284" s="129" t="s">
        <v>468</v>
      </c>
      <c r="F284" s="126" t="s">
        <v>26</v>
      </c>
      <c r="G284" s="129" t="s">
        <v>129</v>
      </c>
      <c r="H284" s="126" t="s">
        <v>136</v>
      </c>
      <c r="I284" s="126">
        <v>2</v>
      </c>
      <c r="J284" s="126">
        <v>0</v>
      </c>
      <c r="K284" s="126">
        <v>2</v>
      </c>
      <c r="L284" s="124">
        <v>1</v>
      </c>
      <c r="M284" s="126">
        <v>2</v>
      </c>
      <c r="N284" s="126">
        <v>1</v>
      </c>
      <c r="O284" s="126">
        <v>1</v>
      </c>
      <c r="P284" s="126"/>
      <c r="Q284" s="126">
        <v>1</v>
      </c>
      <c r="R284" s="126"/>
      <c r="S284" s="126">
        <v>1</v>
      </c>
      <c r="T284" s="124"/>
      <c r="U284" s="126">
        <v>1</v>
      </c>
      <c r="V284" s="126">
        <v>1</v>
      </c>
      <c r="W284" s="126">
        <v>2</v>
      </c>
      <c r="X284" s="126">
        <v>2</v>
      </c>
      <c r="Y284" s="126">
        <v>1</v>
      </c>
      <c r="Z284" s="124">
        <v>0</v>
      </c>
      <c r="AA284" s="126" t="s">
        <v>890</v>
      </c>
      <c r="AB284" s="124"/>
      <c r="AC284" s="126" t="s">
        <v>890</v>
      </c>
      <c r="AD284" s="124">
        <v>0</v>
      </c>
      <c r="AE284" s="126">
        <v>2</v>
      </c>
      <c r="AF284" s="124">
        <v>0</v>
      </c>
      <c r="AG284" s="126">
        <v>2</v>
      </c>
      <c r="AH284" s="126">
        <v>2</v>
      </c>
      <c r="AI284" s="126"/>
      <c r="AJ284" s="126"/>
      <c r="AK284" s="103">
        <v>12</v>
      </c>
    </row>
    <row r="285" spans="1:37" s="127" customFormat="1" ht="15.75">
      <c r="A285" s="120">
        <v>283</v>
      </c>
      <c r="B285" s="126" t="s">
        <v>565</v>
      </c>
      <c r="C285" s="129" t="s">
        <v>561</v>
      </c>
      <c r="D285" s="122" t="str">
        <f>"9180124"</f>
        <v>9180124</v>
      </c>
      <c r="E285" s="129" t="s">
        <v>468</v>
      </c>
      <c r="F285" s="126" t="s">
        <v>26</v>
      </c>
      <c r="G285" s="129" t="s">
        <v>129</v>
      </c>
      <c r="H285" s="126" t="s">
        <v>572</v>
      </c>
      <c r="I285" s="126">
        <v>2</v>
      </c>
      <c r="J285" s="126">
        <v>1</v>
      </c>
      <c r="K285" s="126">
        <v>0</v>
      </c>
      <c r="L285" s="124"/>
      <c r="M285" s="126">
        <v>0</v>
      </c>
      <c r="N285" s="126">
        <v>0</v>
      </c>
      <c r="O285" s="126">
        <v>0</v>
      </c>
      <c r="P285" s="126"/>
      <c r="Q285" s="126">
        <v>1</v>
      </c>
      <c r="R285" s="126">
        <v>1</v>
      </c>
      <c r="S285" s="126">
        <v>0</v>
      </c>
      <c r="T285" s="124"/>
      <c r="U285" s="126">
        <v>0</v>
      </c>
      <c r="V285" s="126"/>
      <c r="W285" s="126">
        <v>1</v>
      </c>
      <c r="X285" s="126">
        <v>1</v>
      </c>
      <c r="Y285" s="126">
        <v>0</v>
      </c>
      <c r="Z285" s="124">
        <v>0</v>
      </c>
      <c r="AA285" s="126">
        <v>1</v>
      </c>
      <c r="AB285" s="124"/>
      <c r="AC285" s="126">
        <v>0</v>
      </c>
      <c r="AD285" s="124">
        <v>0</v>
      </c>
      <c r="AE285" s="126">
        <v>0</v>
      </c>
      <c r="AF285" s="124">
        <v>0</v>
      </c>
      <c r="AG285" s="126">
        <v>1</v>
      </c>
      <c r="AH285" s="126">
        <v>1</v>
      </c>
      <c r="AI285" s="126"/>
      <c r="AJ285" s="126"/>
      <c r="AK285" s="103">
        <v>2</v>
      </c>
    </row>
    <row r="286" spans="1:37" s="127" customFormat="1" ht="15.75">
      <c r="A286" s="120">
        <v>284</v>
      </c>
      <c r="B286" s="126" t="s">
        <v>565</v>
      </c>
      <c r="C286" s="129" t="s">
        <v>563</v>
      </c>
      <c r="D286" s="122" t="str">
        <f>"9180203"</f>
        <v>9180203</v>
      </c>
      <c r="E286" s="129" t="s">
        <v>468</v>
      </c>
      <c r="F286" s="126" t="s">
        <v>26</v>
      </c>
      <c r="G286" s="129" t="s">
        <v>129</v>
      </c>
      <c r="H286" s="126" t="s">
        <v>573</v>
      </c>
      <c r="I286" s="126">
        <v>0</v>
      </c>
      <c r="J286" s="126">
        <v>0</v>
      </c>
      <c r="K286" s="126">
        <v>1</v>
      </c>
      <c r="L286" s="124">
        <v>1</v>
      </c>
      <c r="M286" s="126">
        <v>0</v>
      </c>
      <c r="N286" s="126">
        <v>0</v>
      </c>
      <c r="O286" s="126">
        <v>0</v>
      </c>
      <c r="P286" s="126"/>
      <c r="Q286" s="126">
        <v>0</v>
      </c>
      <c r="R286" s="126"/>
      <c r="S286" s="126">
        <v>1</v>
      </c>
      <c r="T286" s="124"/>
      <c r="U286" s="126">
        <v>0</v>
      </c>
      <c r="V286" s="126">
        <v>1</v>
      </c>
      <c r="W286" s="126">
        <v>1</v>
      </c>
      <c r="X286" s="126">
        <v>1</v>
      </c>
      <c r="Y286" s="126">
        <v>0</v>
      </c>
      <c r="Z286" s="124">
        <v>0</v>
      </c>
      <c r="AA286" s="126">
        <v>0</v>
      </c>
      <c r="AB286" s="124"/>
      <c r="AC286" s="126">
        <v>0</v>
      </c>
      <c r="AD286" s="124">
        <v>0</v>
      </c>
      <c r="AE286" s="126">
        <v>0</v>
      </c>
      <c r="AF286" s="124">
        <v>0</v>
      </c>
      <c r="AG286" s="126">
        <v>1</v>
      </c>
      <c r="AH286" s="126">
        <v>1</v>
      </c>
      <c r="AI286" s="126"/>
      <c r="AJ286" s="126"/>
      <c r="AK286" s="103">
        <v>3</v>
      </c>
    </row>
    <row r="287" spans="1:37" s="127" customFormat="1" ht="15.75">
      <c r="A287" s="120">
        <v>285</v>
      </c>
      <c r="B287" s="126" t="s">
        <v>565</v>
      </c>
      <c r="C287" s="129" t="s">
        <v>544</v>
      </c>
      <c r="D287" s="122" t="str">
        <f>"9180204"</f>
        <v>9180204</v>
      </c>
      <c r="E287" s="129" t="s">
        <v>468</v>
      </c>
      <c r="F287" s="126" t="s">
        <v>26</v>
      </c>
      <c r="G287" s="129" t="s">
        <v>129</v>
      </c>
      <c r="H287" s="126" t="s">
        <v>129</v>
      </c>
      <c r="I287" s="126">
        <v>1</v>
      </c>
      <c r="J287" s="126">
        <v>0</v>
      </c>
      <c r="K287" s="126">
        <v>1</v>
      </c>
      <c r="L287" s="124">
        <v>1</v>
      </c>
      <c r="M287" s="126">
        <v>0</v>
      </c>
      <c r="N287" s="126">
        <v>0</v>
      </c>
      <c r="O287" s="126">
        <v>1</v>
      </c>
      <c r="P287" s="126">
        <v>1</v>
      </c>
      <c r="Q287" s="126">
        <v>0</v>
      </c>
      <c r="R287" s="126"/>
      <c r="S287" s="126">
        <v>1</v>
      </c>
      <c r="T287" s="124"/>
      <c r="U287" s="126">
        <v>1</v>
      </c>
      <c r="V287" s="126">
        <v>1</v>
      </c>
      <c r="W287" s="126">
        <v>1</v>
      </c>
      <c r="X287" s="126">
        <v>1</v>
      </c>
      <c r="Y287" s="126">
        <v>1</v>
      </c>
      <c r="Z287" s="124">
        <v>0</v>
      </c>
      <c r="AA287" s="126">
        <v>0</v>
      </c>
      <c r="AB287" s="124"/>
      <c r="AC287" s="126">
        <v>0</v>
      </c>
      <c r="AD287" s="124">
        <v>0</v>
      </c>
      <c r="AE287" s="126">
        <v>3</v>
      </c>
      <c r="AF287" s="124">
        <v>0</v>
      </c>
      <c r="AG287" s="126">
        <v>2</v>
      </c>
      <c r="AH287" s="126">
        <v>2</v>
      </c>
      <c r="AI287" s="126"/>
      <c r="AJ287" s="126"/>
      <c r="AK287" s="103">
        <v>12</v>
      </c>
    </row>
    <row r="288" spans="1:37" s="127" customFormat="1" ht="15.75">
      <c r="A288" s="120">
        <v>286</v>
      </c>
      <c r="B288" s="126" t="s">
        <v>565</v>
      </c>
      <c r="C288" s="129" t="s">
        <v>546</v>
      </c>
      <c r="D288" s="122" t="str">
        <f>"9180215"</f>
        <v>9180215</v>
      </c>
      <c r="E288" s="129" t="s">
        <v>468</v>
      </c>
      <c r="F288" s="126" t="s">
        <v>26</v>
      </c>
      <c r="G288" s="129" t="s">
        <v>129</v>
      </c>
      <c r="H288" s="126" t="s">
        <v>129</v>
      </c>
      <c r="I288" s="126">
        <v>2</v>
      </c>
      <c r="J288" s="126">
        <v>0</v>
      </c>
      <c r="K288" s="126">
        <v>2</v>
      </c>
      <c r="L288" s="124">
        <v>1</v>
      </c>
      <c r="M288" s="126">
        <v>1</v>
      </c>
      <c r="N288" s="126">
        <v>1</v>
      </c>
      <c r="O288" s="126">
        <v>1</v>
      </c>
      <c r="P288" s="126"/>
      <c r="Q288" s="126">
        <v>1</v>
      </c>
      <c r="R288" s="126"/>
      <c r="S288" s="126">
        <v>1</v>
      </c>
      <c r="T288" s="124"/>
      <c r="U288" s="126">
        <v>1</v>
      </c>
      <c r="V288" s="126">
        <v>1</v>
      </c>
      <c r="W288" s="126">
        <v>1</v>
      </c>
      <c r="X288" s="126">
        <v>1</v>
      </c>
      <c r="Y288" s="126">
        <v>1</v>
      </c>
      <c r="Z288" s="124">
        <v>0</v>
      </c>
      <c r="AA288" s="126">
        <v>0</v>
      </c>
      <c r="AB288" s="124"/>
      <c r="AC288" s="126">
        <v>0</v>
      </c>
      <c r="AD288" s="124">
        <v>0</v>
      </c>
      <c r="AE288" s="126">
        <v>1</v>
      </c>
      <c r="AF288" s="124">
        <v>0</v>
      </c>
      <c r="AG288" s="126">
        <v>1</v>
      </c>
      <c r="AH288" s="126">
        <v>1</v>
      </c>
      <c r="AI288" s="126"/>
      <c r="AJ288" s="126"/>
      <c r="AK288" s="103">
        <v>12</v>
      </c>
    </row>
    <row r="289" spans="1:37" s="127" customFormat="1" ht="15.75">
      <c r="A289" s="120">
        <v>287</v>
      </c>
      <c r="B289" s="126" t="s">
        <v>565</v>
      </c>
      <c r="C289" s="129" t="s">
        <v>547</v>
      </c>
      <c r="D289" s="122" t="str">
        <f>"9180236"</f>
        <v>9180236</v>
      </c>
      <c r="E289" s="129" t="s">
        <v>468</v>
      </c>
      <c r="F289" s="126" t="s">
        <v>26</v>
      </c>
      <c r="G289" s="129" t="s">
        <v>129</v>
      </c>
      <c r="H289" s="126" t="s">
        <v>129</v>
      </c>
      <c r="I289" s="126"/>
      <c r="J289" s="126">
        <v>0</v>
      </c>
      <c r="K289" s="126">
        <v>1</v>
      </c>
      <c r="L289" s="124">
        <v>1</v>
      </c>
      <c r="M289" s="126">
        <v>0</v>
      </c>
      <c r="N289" s="126">
        <v>0</v>
      </c>
      <c r="O289" s="126">
        <v>0</v>
      </c>
      <c r="P289" s="126"/>
      <c r="Q289" s="126">
        <v>1</v>
      </c>
      <c r="R289" s="126"/>
      <c r="S289" s="126">
        <v>0</v>
      </c>
      <c r="T289" s="124"/>
      <c r="U289" s="126">
        <v>1</v>
      </c>
      <c r="V289" s="126">
        <v>1</v>
      </c>
      <c r="W289" s="126">
        <v>2</v>
      </c>
      <c r="X289" s="126">
        <v>2</v>
      </c>
      <c r="Y289" s="126"/>
      <c r="Z289" s="124">
        <v>0</v>
      </c>
      <c r="AA289" s="126">
        <v>0</v>
      </c>
      <c r="AB289" s="124"/>
      <c r="AC289" s="126">
        <v>0</v>
      </c>
      <c r="AD289" s="124">
        <v>0</v>
      </c>
      <c r="AE289" s="126">
        <v>0</v>
      </c>
      <c r="AF289" s="124">
        <v>0</v>
      </c>
      <c r="AG289" s="126">
        <v>0</v>
      </c>
      <c r="AH289" s="126">
        <v>0</v>
      </c>
      <c r="AI289" s="126" t="s">
        <v>841</v>
      </c>
      <c r="AJ289" s="126" t="s">
        <v>841</v>
      </c>
      <c r="AK289" s="103">
        <v>16</v>
      </c>
    </row>
    <row r="290" spans="1:37" s="127" customFormat="1" ht="15.75">
      <c r="A290" s="120">
        <v>288</v>
      </c>
      <c r="B290" s="126" t="s">
        <v>565</v>
      </c>
      <c r="C290" s="129" t="s">
        <v>559</v>
      </c>
      <c r="D290" s="122" t="str">
        <f>"9180245"</f>
        <v>9180245</v>
      </c>
      <c r="E290" s="129" t="s">
        <v>468</v>
      </c>
      <c r="F290" s="126" t="s">
        <v>26</v>
      </c>
      <c r="G290" s="129" t="s">
        <v>129</v>
      </c>
      <c r="H290" s="126" t="s">
        <v>581</v>
      </c>
      <c r="I290" s="126">
        <v>1</v>
      </c>
      <c r="J290" s="126">
        <v>0</v>
      </c>
      <c r="K290" s="126">
        <v>1</v>
      </c>
      <c r="L290" s="124">
        <v>1</v>
      </c>
      <c r="M290" s="126">
        <v>1</v>
      </c>
      <c r="N290" s="126">
        <v>1</v>
      </c>
      <c r="O290" s="126">
        <v>0</v>
      </c>
      <c r="P290" s="126"/>
      <c r="Q290" s="126">
        <v>1</v>
      </c>
      <c r="R290" s="126"/>
      <c r="S290" s="126">
        <v>1</v>
      </c>
      <c r="T290" s="124"/>
      <c r="U290" s="126">
        <v>1</v>
      </c>
      <c r="V290" s="126">
        <v>1</v>
      </c>
      <c r="W290" s="126">
        <v>1</v>
      </c>
      <c r="X290" s="126">
        <v>1</v>
      </c>
      <c r="Y290" s="126">
        <v>1</v>
      </c>
      <c r="Z290" s="124">
        <v>0</v>
      </c>
      <c r="AA290" s="126">
        <v>0</v>
      </c>
      <c r="AB290" s="124"/>
      <c r="AC290" s="126">
        <v>0</v>
      </c>
      <c r="AD290" s="124">
        <v>0</v>
      </c>
      <c r="AE290" s="126">
        <v>1</v>
      </c>
      <c r="AF290" s="124">
        <v>0</v>
      </c>
      <c r="AG290" s="126">
        <v>1</v>
      </c>
      <c r="AH290" s="126">
        <v>1</v>
      </c>
      <c r="AI290" s="126"/>
      <c r="AJ290" s="126"/>
      <c r="AK290" s="105"/>
    </row>
    <row r="291" spans="1:37" s="127" customFormat="1" ht="15.75">
      <c r="A291" s="120">
        <v>289</v>
      </c>
      <c r="B291" s="126" t="s">
        <v>565</v>
      </c>
      <c r="C291" s="129" t="s">
        <v>548</v>
      </c>
      <c r="D291" s="122" t="str">
        <f>"9180247"</f>
        <v>9180247</v>
      </c>
      <c r="E291" s="129" t="s">
        <v>468</v>
      </c>
      <c r="F291" s="126" t="s">
        <v>26</v>
      </c>
      <c r="G291" s="129" t="s">
        <v>129</v>
      </c>
      <c r="H291" s="126" t="s">
        <v>129</v>
      </c>
      <c r="I291" s="126"/>
      <c r="J291" s="126">
        <v>0</v>
      </c>
      <c r="K291" s="126"/>
      <c r="L291" s="124"/>
      <c r="M291" s="126"/>
      <c r="N291" s="126">
        <v>0</v>
      </c>
      <c r="O291" s="126"/>
      <c r="P291" s="126"/>
      <c r="Q291" s="126"/>
      <c r="R291" s="126"/>
      <c r="S291" s="126"/>
      <c r="T291" s="124"/>
      <c r="U291" s="126"/>
      <c r="V291" s="126"/>
      <c r="W291" s="126"/>
      <c r="X291" s="126"/>
      <c r="Y291" s="126"/>
      <c r="Z291" s="124">
        <v>0</v>
      </c>
      <c r="AA291" s="126"/>
      <c r="AB291" s="124"/>
      <c r="AC291" s="126"/>
      <c r="AD291" s="124">
        <v>0</v>
      </c>
      <c r="AE291" s="126"/>
      <c r="AF291" s="124">
        <v>0</v>
      </c>
      <c r="AG291" s="126"/>
      <c r="AH291" s="126"/>
      <c r="AI291" s="126"/>
      <c r="AJ291" s="126"/>
      <c r="AK291" s="103">
        <v>30</v>
      </c>
    </row>
    <row r="292" spans="1:37" s="127" customFormat="1" ht="15.75">
      <c r="A292" s="120">
        <v>290</v>
      </c>
      <c r="B292" s="126" t="s">
        <v>565</v>
      </c>
      <c r="C292" s="129" t="s">
        <v>549</v>
      </c>
      <c r="D292" s="122" t="str">
        <f>"9180248"</f>
        <v>9180248</v>
      </c>
      <c r="E292" s="129" t="s">
        <v>468</v>
      </c>
      <c r="F292" s="126" t="s">
        <v>26</v>
      </c>
      <c r="G292" s="129" t="s">
        <v>129</v>
      </c>
      <c r="H292" s="126" t="s">
        <v>129</v>
      </c>
      <c r="I292" s="126"/>
      <c r="J292" s="126">
        <v>0</v>
      </c>
      <c r="K292" s="126"/>
      <c r="L292" s="124"/>
      <c r="M292" s="126"/>
      <c r="N292" s="126">
        <v>0</v>
      </c>
      <c r="O292" s="126"/>
      <c r="P292" s="126"/>
      <c r="Q292" s="126"/>
      <c r="R292" s="126"/>
      <c r="S292" s="126"/>
      <c r="T292" s="124"/>
      <c r="U292" s="126"/>
      <c r="V292" s="126"/>
      <c r="W292" s="126"/>
      <c r="X292" s="126"/>
      <c r="Y292" s="126"/>
      <c r="Z292" s="124">
        <v>0</v>
      </c>
      <c r="AA292" s="126"/>
      <c r="AB292" s="124"/>
      <c r="AC292" s="126"/>
      <c r="AD292" s="124">
        <v>0</v>
      </c>
      <c r="AE292" s="126"/>
      <c r="AF292" s="124">
        <v>0</v>
      </c>
      <c r="AG292" s="126"/>
      <c r="AH292" s="126"/>
      <c r="AI292" s="126"/>
      <c r="AJ292" s="126"/>
      <c r="AK292" s="103">
        <v>26</v>
      </c>
    </row>
    <row r="293" spans="1:37" s="127" customFormat="1" ht="15.75">
      <c r="A293" s="120">
        <v>291</v>
      </c>
      <c r="B293" s="126" t="s">
        <v>565</v>
      </c>
      <c r="C293" s="129" t="s">
        <v>550</v>
      </c>
      <c r="D293" s="122" t="str">
        <f>"9180251"</f>
        <v>9180251</v>
      </c>
      <c r="E293" s="129" t="s">
        <v>468</v>
      </c>
      <c r="F293" s="126" t="s">
        <v>26</v>
      </c>
      <c r="G293" s="129" t="s">
        <v>129</v>
      </c>
      <c r="H293" s="126" t="s">
        <v>129</v>
      </c>
      <c r="I293" s="126">
        <v>2</v>
      </c>
      <c r="J293" s="126">
        <v>0</v>
      </c>
      <c r="K293" s="126">
        <v>1</v>
      </c>
      <c r="L293" s="124">
        <v>1</v>
      </c>
      <c r="M293" s="126">
        <v>1</v>
      </c>
      <c r="N293" s="126">
        <v>1</v>
      </c>
      <c r="O293" s="126">
        <v>0</v>
      </c>
      <c r="P293" s="126"/>
      <c r="Q293" s="126">
        <v>2</v>
      </c>
      <c r="R293" s="126"/>
      <c r="S293" s="126">
        <v>0</v>
      </c>
      <c r="T293" s="124"/>
      <c r="U293" s="126">
        <v>0</v>
      </c>
      <c r="V293" s="126">
        <v>1</v>
      </c>
      <c r="W293" s="126">
        <v>1</v>
      </c>
      <c r="X293" s="126">
        <v>1</v>
      </c>
      <c r="Y293" s="126">
        <v>1</v>
      </c>
      <c r="Z293" s="124">
        <v>0</v>
      </c>
      <c r="AA293" s="126">
        <v>0</v>
      </c>
      <c r="AB293" s="124"/>
      <c r="AC293" s="126">
        <v>0</v>
      </c>
      <c r="AD293" s="124">
        <v>0</v>
      </c>
      <c r="AE293" s="126">
        <v>0</v>
      </c>
      <c r="AF293" s="124">
        <v>0</v>
      </c>
      <c r="AG293" s="126">
        <v>0</v>
      </c>
      <c r="AH293" s="126">
        <v>0</v>
      </c>
      <c r="AI293" s="126"/>
      <c r="AJ293" s="126"/>
      <c r="AK293" s="103">
        <v>19</v>
      </c>
    </row>
    <row r="294" spans="1:37" s="127" customFormat="1" ht="15.75">
      <c r="A294" s="120">
        <v>292</v>
      </c>
      <c r="B294" s="126" t="s">
        <v>565</v>
      </c>
      <c r="C294" s="129" t="s">
        <v>540</v>
      </c>
      <c r="D294" s="122" t="str">
        <f>"9180263"</f>
        <v>9180263</v>
      </c>
      <c r="E294" s="129" t="s">
        <v>468</v>
      </c>
      <c r="F294" s="126" t="s">
        <v>26</v>
      </c>
      <c r="G294" s="129" t="s">
        <v>129</v>
      </c>
      <c r="H294" s="126" t="s">
        <v>568</v>
      </c>
      <c r="I294" s="126"/>
      <c r="J294" s="126">
        <v>0</v>
      </c>
      <c r="K294" s="126">
        <v>1</v>
      </c>
      <c r="L294" s="124">
        <v>1</v>
      </c>
      <c r="M294" s="126">
        <v>2</v>
      </c>
      <c r="N294" s="126">
        <v>1</v>
      </c>
      <c r="O294" s="126">
        <v>1</v>
      </c>
      <c r="P294" s="126"/>
      <c r="Q294" s="126">
        <v>2</v>
      </c>
      <c r="R294" s="126"/>
      <c r="S294" s="126">
        <v>1</v>
      </c>
      <c r="T294" s="124"/>
      <c r="U294" s="126">
        <v>1</v>
      </c>
      <c r="V294" s="126">
        <v>1</v>
      </c>
      <c r="W294" s="126">
        <v>1</v>
      </c>
      <c r="X294" s="126">
        <v>1</v>
      </c>
      <c r="Y294" s="126"/>
      <c r="Z294" s="124">
        <v>0</v>
      </c>
      <c r="AA294" s="126">
        <v>0</v>
      </c>
      <c r="AB294" s="124"/>
      <c r="AC294" s="126">
        <v>0</v>
      </c>
      <c r="AD294" s="124">
        <v>0</v>
      </c>
      <c r="AE294" s="126">
        <v>0</v>
      </c>
      <c r="AF294" s="124">
        <v>0</v>
      </c>
      <c r="AG294" s="126">
        <v>0</v>
      </c>
      <c r="AH294" s="126">
        <v>0</v>
      </c>
      <c r="AI294" s="126" t="s">
        <v>834</v>
      </c>
      <c r="AJ294" s="126" t="s">
        <v>834</v>
      </c>
      <c r="AK294" s="103">
        <v>26</v>
      </c>
    </row>
    <row r="295" spans="1:37" s="127" customFormat="1" ht="15.75">
      <c r="A295" s="120">
        <v>293</v>
      </c>
      <c r="B295" s="126" t="s">
        <v>565</v>
      </c>
      <c r="C295" s="129" t="s">
        <v>551</v>
      </c>
      <c r="D295" s="122" t="str">
        <f>"9520895"</f>
        <v>9520895</v>
      </c>
      <c r="E295" s="129" t="s">
        <v>468</v>
      </c>
      <c r="F295" s="126" t="s">
        <v>26</v>
      </c>
      <c r="G295" s="129" t="s">
        <v>129</v>
      </c>
      <c r="H295" s="126" t="s">
        <v>129</v>
      </c>
      <c r="I295" s="126">
        <v>1</v>
      </c>
      <c r="J295" s="126">
        <v>0</v>
      </c>
      <c r="K295" s="126">
        <v>1</v>
      </c>
      <c r="L295" s="124">
        <v>1</v>
      </c>
      <c r="M295" s="126">
        <v>1</v>
      </c>
      <c r="N295" s="126">
        <v>1</v>
      </c>
      <c r="O295" s="126">
        <v>1</v>
      </c>
      <c r="P295" s="126"/>
      <c r="Q295" s="126">
        <v>0</v>
      </c>
      <c r="R295" s="126"/>
      <c r="S295" s="126">
        <v>0</v>
      </c>
      <c r="T295" s="124"/>
      <c r="U295" s="126">
        <v>1</v>
      </c>
      <c r="V295" s="126">
        <v>1</v>
      </c>
      <c r="W295" s="126">
        <v>1</v>
      </c>
      <c r="X295" s="126">
        <v>1</v>
      </c>
      <c r="Y295" s="126">
        <v>1</v>
      </c>
      <c r="Z295" s="124">
        <v>0</v>
      </c>
      <c r="AA295" s="126">
        <v>0</v>
      </c>
      <c r="AB295" s="124"/>
      <c r="AC295" s="126">
        <v>0</v>
      </c>
      <c r="AD295" s="124">
        <v>0</v>
      </c>
      <c r="AE295" s="126">
        <v>1</v>
      </c>
      <c r="AF295" s="124">
        <v>0</v>
      </c>
      <c r="AG295" s="126">
        <v>1</v>
      </c>
      <c r="AH295" s="126">
        <v>1</v>
      </c>
      <c r="AI295" s="126"/>
      <c r="AJ295" s="126"/>
      <c r="AK295" s="103">
        <v>14</v>
      </c>
    </row>
    <row r="296" spans="1:37" s="127" customFormat="1" ht="15.75">
      <c r="A296" s="120">
        <v>294</v>
      </c>
      <c r="B296" s="126" t="s">
        <v>565</v>
      </c>
      <c r="C296" s="129" t="s">
        <v>557</v>
      </c>
      <c r="D296" s="129"/>
      <c r="E296" s="129" t="s">
        <v>468</v>
      </c>
      <c r="F296" s="126" t="s">
        <v>26</v>
      </c>
      <c r="G296" s="129" t="s">
        <v>129</v>
      </c>
      <c r="H296" s="126" t="s">
        <v>580</v>
      </c>
      <c r="I296" s="126">
        <v>10</v>
      </c>
      <c r="J296" s="126">
        <v>2</v>
      </c>
      <c r="K296" s="126">
        <v>0</v>
      </c>
      <c r="L296" s="124"/>
      <c r="M296" s="126">
        <v>1</v>
      </c>
      <c r="N296" s="126">
        <v>1</v>
      </c>
      <c r="O296" s="126">
        <v>0</v>
      </c>
      <c r="P296" s="126"/>
      <c r="Q296" s="126">
        <v>1</v>
      </c>
      <c r="R296" s="126"/>
      <c r="S296" s="126">
        <v>1</v>
      </c>
      <c r="T296" s="124"/>
      <c r="U296" s="126">
        <v>0</v>
      </c>
      <c r="V296" s="126">
        <v>1</v>
      </c>
      <c r="W296" s="126">
        <v>5</v>
      </c>
      <c r="X296" s="126">
        <v>5</v>
      </c>
      <c r="Y296" s="126">
        <v>1</v>
      </c>
      <c r="Z296" s="124">
        <v>0</v>
      </c>
      <c r="AA296" s="126">
        <v>0</v>
      </c>
      <c r="AB296" s="124"/>
      <c r="AC296" s="126">
        <v>0</v>
      </c>
      <c r="AD296" s="124">
        <v>0</v>
      </c>
      <c r="AE296" s="126">
        <v>14</v>
      </c>
      <c r="AF296" s="124">
        <v>0</v>
      </c>
      <c r="AG296" s="126">
        <v>0</v>
      </c>
      <c r="AH296" s="126">
        <v>0</v>
      </c>
      <c r="AI296" s="126"/>
      <c r="AJ296" s="126"/>
      <c r="AK296" s="103">
        <v>4</v>
      </c>
    </row>
    <row r="297" spans="1:37" s="127" customFormat="1" ht="15.75">
      <c r="A297" s="120">
        <v>295</v>
      </c>
      <c r="B297" s="126" t="s">
        <v>565</v>
      </c>
      <c r="C297" s="129" t="s">
        <v>554</v>
      </c>
      <c r="D297" s="122" t="str">
        <f>"9180036"</f>
        <v>9180036</v>
      </c>
      <c r="E297" s="129" t="s">
        <v>468</v>
      </c>
      <c r="F297" s="126" t="s">
        <v>26</v>
      </c>
      <c r="G297" s="129" t="s">
        <v>131</v>
      </c>
      <c r="H297" s="126" t="s">
        <v>567</v>
      </c>
      <c r="I297" s="126"/>
      <c r="J297" s="126">
        <v>0</v>
      </c>
      <c r="K297" s="126"/>
      <c r="L297" s="124"/>
      <c r="M297" s="126"/>
      <c r="N297" s="126">
        <v>0</v>
      </c>
      <c r="O297" s="126"/>
      <c r="P297" s="126"/>
      <c r="Q297" s="126"/>
      <c r="R297" s="126"/>
      <c r="S297" s="126"/>
      <c r="T297" s="124"/>
      <c r="U297" s="126"/>
      <c r="V297" s="126"/>
      <c r="W297" s="126"/>
      <c r="X297" s="126"/>
      <c r="Y297" s="126"/>
      <c r="Z297" s="124">
        <v>0</v>
      </c>
      <c r="AA297" s="126"/>
      <c r="AB297" s="124"/>
      <c r="AC297" s="126"/>
      <c r="AD297" s="124">
        <v>0</v>
      </c>
      <c r="AE297" s="126"/>
      <c r="AF297" s="124">
        <v>0</v>
      </c>
      <c r="AG297" s="126"/>
      <c r="AH297" s="126"/>
      <c r="AI297" s="126"/>
      <c r="AJ297" s="126"/>
      <c r="AK297" s="103">
        <v>0</v>
      </c>
    </row>
    <row r="298" spans="1:37" s="127" customFormat="1" ht="15.75">
      <c r="A298" s="120">
        <v>296</v>
      </c>
      <c r="B298" s="126" t="s">
        <v>565</v>
      </c>
      <c r="C298" s="129" t="s">
        <v>535</v>
      </c>
      <c r="D298" s="122" t="str">
        <f>"9180059"</f>
        <v>9180059</v>
      </c>
      <c r="E298" s="129" t="s">
        <v>468</v>
      </c>
      <c r="F298" s="126" t="s">
        <v>26</v>
      </c>
      <c r="G298" s="129" t="s">
        <v>131</v>
      </c>
      <c r="H298" s="126" t="s">
        <v>135</v>
      </c>
      <c r="I298" s="126"/>
      <c r="J298" s="126">
        <v>0</v>
      </c>
      <c r="K298" s="126"/>
      <c r="L298" s="124"/>
      <c r="M298" s="126"/>
      <c r="N298" s="126">
        <v>0</v>
      </c>
      <c r="O298" s="126"/>
      <c r="P298" s="126"/>
      <c r="Q298" s="126"/>
      <c r="R298" s="126"/>
      <c r="S298" s="126"/>
      <c r="T298" s="124"/>
      <c r="U298" s="126"/>
      <c r="V298" s="126"/>
      <c r="W298" s="126"/>
      <c r="X298" s="126"/>
      <c r="Y298" s="126"/>
      <c r="Z298" s="124">
        <v>0</v>
      </c>
      <c r="AA298" s="126"/>
      <c r="AB298" s="124"/>
      <c r="AC298" s="126"/>
      <c r="AD298" s="124">
        <v>0</v>
      </c>
      <c r="AE298" s="126"/>
      <c r="AF298" s="124">
        <v>0</v>
      </c>
      <c r="AG298" s="126"/>
      <c r="AH298" s="126"/>
      <c r="AI298" s="126"/>
      <c r="AJ298" s="126"/>
      <c r="AK298" s="103">
        <v>36</v>
      </c>
    </row>
    <row r="299" spans="1:37" s="127" customFormat="1" ht="15.75">
      <c r="A299" s="120">
        <v>297</v>
      </c>
      <c r="B299" s="126" t="s">
        <v>565</v>
      </c>
      <c r="C299" s="129" t="s">
        <v>536</v>
      </c>
      <c r="D299" s="122" t="str">
        <f>"9180068"</f>
        <v>9180068</v>
      </c>
      <c r="E299" s="129" t="s">
        <v>468</v>
      </c>
      <c r="F299" s="126" t="s">
        <v>26</v>
      </c>
      <c r="G299" s="129" t="s">
        <v>131</v>
      </c>
      <c r="H299" s="126" t="s">
        <v>132</v>
      </c>
      <c r="I299" s="126">
        <v>2</v>
      </c>
      <c r="J299" s="126">
        <v>0</v>
      </c>
      <c r="K299" s="126">
        <v>1</v>
      </c>
      <c r="L299" s="124">
        <v>1</v>
      </c>
      <c r="M299" s="126">
        <v>1</v>
      </c>
      <c r="N299" s="126">
        <v>1</v>
      </c>
      <c r="O299" s="126">
        <v>1</v>
      </c>
      <c r="P299" s="126"/>
      <c r="Q299" s="126">
        <v>1</v>
      </c>
      <c r="R299" s="126"/>
      <c r="S299" s="126">
        <v>1</v>
      </c>
      <c r="T299" s="124"/>
      <c r="U299" s="126">
        <v>1</v>
      </c>
      <c r="V299" s="126">
        <v>1</v>
      </c>
      <c r="W299" s="126">
        <v>1</v>
      </c>
      <c r="X299" s="126">
        <v>1</v>
      </c>
      <c r="Y299" s="126">
        <v>1</v>
      </c>
      <c r="Z299" s="124">
        <v>0</v>
      </c>
      <c r="AA299" s="126">
        <v>0</v>
      </c>
      <c r="AB299" s="124"/>
      <c r="AC299" s="126">
        <v>0</v>
      </c>
      <c r="AD299" s="124">
        <v>0</v>
      </c>
      <c r="AE299" s="126">
        <v>1</v>
      </c>
      <c r="AF299" s="124">
        <v>0</v>
      </c>
      <c r="AG299" s="126">
        <v>1</v>
      </c>
      <c r="AH299" s="126">
        <v>1</v>
      </c>
      <c r="AI299" s="126"/>
      <c r="AJ299" s="126"/>
      <c r="AK299" s="103">
        <v>15</v>
      </c>
    </row>
    <row r="300" spans="1:37" s="127" customFormat="1" ht="15.75">
      <c r="A300" s="120">
        <v>298</v>
      </c>
      <c r="B300" s="126" t="s">
        <v>565</v>
      </c>
      <c r="C300" s="129" t="s">
        <v>553</v>
      </c>
      <c r="D300" s="122" t="str">
        <f>"9180070"</f>
        <v>9180070</v>
      </c>
      <c r="E300" s="129" t="s">
        <v>468</v>
      </c>
      <c r="F300" s="126" t="s">
        <v>26</v>
      </c>
      <c r="G300" s="129" t="s">
        <v>131</v>
      </c>
      <c r="H300" s="126" t="s">
        <v>579</v>
      </c>
      <c r="I300" s="126"/>
      <c r="J300" s="126">
        <v>0</v>
      </c>
      <c r="K300" s="126"/>
      <c r="L300" s="124"/>
      <c r="M300" s="126"/>
      <c r="N300" s="126">
        <v>0</v>
      </c>
      <c r="O300" s="126"/>
      <c r="P300" s="126"/>
      <c r="Q300" s="126"/>
      <c r="R300" s="126"/>
      <c r="S300" s="126"/>
      <c r="T300" s="124"/>
      <c r="U300" s="126"/>
      <c r="V300" s="126"/>
      <c r="W300" s="126"/>
      <c r="X300" s="126"/>
      <c r="Y300" s="126"/>
      <c r="Z300" s="124">
        <v>0</v>
      </c>
      <c r="AA300" s="126"/>
      <c r="AB300" s="124"/>
      <c r="AC300" s="126"/>
      <c r="AD300" s="124">
        <v>0</v>
      </c>
      <c r="AE300" s="126"/>
      <c r="AF300" s="124">
        <v>0</v>
      </c>
      <c r="AG300" s="126"/>
      <c r="AH300" s="126"/>
      <c r="AI300" s="126"/>
      <c r="AJ300" s="126"/>
      <c r="AK300" s="103">
        <v>11</v>
      </c>
    </row>
    <row r="301" spans="1:37" s="127" customFormat="1" ht="15.75">
      <c r="A301" s="120">
        <v>299</v>
      </c>
      <c r="B301" s="126" t="s">
        <v>565</v>
      </c>
      <c r="C301" s="129" t="s">
        <v>555</v>
      </c>
      <c r="D301" s="122" t="str">
        <f>"9180075"</f>
        <v>9180075</v>
      </c>
      <c r="E301" s="129" t="s">
        <v>468</v>
      </c>
      <c r="F301" s="126" t="s">
        <v>26</v>
      </c>
      <c r="G301" s="129" t="s">
        <v>131</v>
      </c>
      <c r="H301" s="126" t="s">
        <v>575</v>
      </c>
      <c r="I301" s="126">
        <v>1</v>
      </c>
      <c r="J301" s="126">
        <v>0</v>
      </c>
      <c r="K301" s="126">
        <v>0</v>
      </c>
      <c r="L301" s="124"/>
      <c r="M301" s="126">
        <v>0</v>
      </c>
      <c r="N301" s="126">
        <v>0</v>
      </c>
      <c r="O301" s="126">
        <v>1</v>
      </c>
      <c r="P301" s="126">
        <v>1</v>
      </c>
      <c r="Q301" s="126">
        <v>0</v>
      </c>
      <c r="R301" s="126"/>
      <c r="S301" s="126">
        <v>0</v>
      </c>
      <c r="T301" s="124"/>
      <c r="U301" s="126">
        <v>1</v>
      </c>
      <c r="V301" s="126">
        <v>1</v>
      </c>
      <c r="W301" s="126">
        <v>0</v>
      </c>
      <c r="X301" s="126">
        <v>0</v>
      </c>
      <c r="Y301" s="126">
        <v>0</v>
      </c>
      <c r="Z301" s="124">
        <v>0</v>
      </c>
      <c r="AA301" s="126">
        <v>0</v>
      </c>
      <c r="AB301" s="124"/>
      <c r="AC301" s="126">
        <v>0</v>
      </c>
      <c r="AD301" s="124">
        <v>0</v>
      </c>
      <c r="AE301" s="126">
        <v>0</v>
      </c>
      <c r="AF301" s="124">
        <v>0</v>
      </c>
      <c r="AG301" s="126">
        <v>1</v>
      </c>
      <c r="AH301" s="126">
        <v>1</v>
      </c>
      <c r="AI301" s="126"/>
      <c r="AJ301" s="126"/>
      <c r="AK301" s="103">
        <v>12</v>
      </c>
    </row>
    <row r="302" spans="1:37" s="127" customFormat="1" ht="15.75">
      <c r="A302" s="120">
        <v>300</v>
      </c>
      <c r="B302" s="126" t="s">
        <v>565</v>
      </c>
      <c r="C302" s="129" t="s">
        <v>556</v>
      </c>
      <c r="D302" s="122" t="str">
        <f>"9180078"</f>
        <v>9180078</v>
      </c>
      <c r="E302" s="129" t="s">
        <v>468</v>
      </c>
      <c r="F302" s="126" t="s">
        <v>26</v>
      </c>
      <c r="G302" s="129" t="s">
        <v>131</v>
      </c>
      <c r="H302" s="126" t="s">
        <v>576</v>
      </c>
      <c r="I302" s="126"/>
      <c r="J302" s="126">
        <v>0</v>
      </c>
      <c r="K302" s="126"/>
      <c r="L302" s="124"/>
      <c r="M302" s="126"/>
      <c r="N302" s="126">
        <v>0</v>
      </c>
      <c r="O302" s="126"/>
      <c r="P302" s="126"/>
      <c r="Q302" s="126"/>
      <c r="R302" s="126"/>
      <c r="S302" s="126"/>
      <c r="T302" s="124"/>
      <c r="U302" s="126"/>
      <c r="V302" s="126"/>
      <c r="W302" s="126"/>
      <c r="X302" s="126"/>
      <c r="Y302" s="126"/>
      <c r="Z302" s="124">
        <v>0</v>
      </c>
      <c r="AA302" s="126"/>
      <c r="AB302" s="124"/>
      <c r="AC302" s="126"/>
      <c r="AD302" s="124">
        <v>0</v>
      </c>
      <c r="AE302" s="126"/>
      <c r="AF302" s="124">
        <v>0</v>
      </c>
      <c r="AG302" s="126"/>
      <c r="AH302" s="126"/>
      <c r="AI302" s="126"/>
      <c r="AJ302" s="126"/>
      <c r="AK302" s="103">
        <v>12</v>
      </c>
    </row>
    <row r="303" spans="1:37" s="127" customFormat="1" ht="15.75">
      <c r="A303" s="120">
        <v>301</v>
      </c>
      <c r="B303" s="126" t="s">
        <v>565</v>
      </c>
      <c r="C303" s="129" t="s">
        <v>560</v>
      </c>
      <c r="D303" s="122" t="str">
        <f>"9180201"</f>
        <v>9180201</v>
      </c>
      <c r="E303" s="129" t="s">
        <v>468</v>
      </c>
      <c r="F303" s="126" t="s">
        <v>26</v>
      </c>
      <c r="G303" s="129" t="s">
        <v>131</v>
      </c>
      <c r="H303" s="126" t="s">
        <v>134</v>
      </c>
      <c r="I303" s="126"/>
      <c r="J303" s="126">
        <v>0</v>
      </c>
      <c r="K303" s="126"/>
      <c r="L303" s="124"/>
      <c r="M303" s="126"/>
      <c r="N303" s="126">
        <v>0</v>
      </c>
      <c r="O303" s="126"/>
      <c r="P303" s="126"/>
      <c r="Q303" s="126"/>
      <c r="R303" s="126"/>
      <c r="S303" s="126"/>
      <c r="T303" s="124"/>
      <c r="U303" s="126"/>
      <c r="V303" s="126"/>
      <c r="W303" s="126"/>
      <c r="X303" s="126"/>
      <c r="Y303" s="126"/>
      <c r="Z303" s="124">
        <v>0</v>
      </c>
      <c r="AA303" s="126"/>
      <c r="AB303" s="124"/>
      <c r="AC303" s="126"/>
      <c r="AD303" s="124">
        <v>0</v>
      </c>
      <c r="AE303" s="126"/>
      <c r="AF303" s="124">
        <v>0</v>
      </c>
      <c r="AG303" s="126"/>
      <c r="AH303" s="126"/>
      <c r="AI303" s="126"/>
      <c r="AJ303" s="126"/>
      <c r="AK303" s="105"/>
    </row>
    <row r="304" spans="1:37" s="127" customFormat="1" ht="15.75">
      <c r="A304" s="120">
        <v>302</v>
      </c>
      <c r="B304" s="126" t="s">
        <v>565</v>
      </c>
      <c r="C304" s="129" t="s">
        <v>545</v>
      </c>
      <c r="D304" s="122" t="str">
        <f>"9180232"</f>
        <v>9180232</v>
      </c>
      <c r="E304" s="129" t="s">
        <v>468</v>
      </c>
      <c r="F304" s="126" t="s">
        <v>26</v>
      </c>
      <c r="G304" s="129" t="s">
        <v>131</v>
      </c>
      <c r="H304" s="126" t="s">
        <v>135</v>
      </c>
      <c r="I304" s="126">
        <v>1</v>
      </c>
      <c r="J304" s="126">
        <v>0</v>
      </c>
      <c r="K304" s="126">
        <v>1</v>
      </c>
      <c r="L304" s="124">
        <v>1</v>
      </c>
      <c r="M304" s="126">
        <v>0</v>
      </c>
      <c r="N304" s="126">
        <v>0</v>
      </c>
      <c r="O304" s="126">
        <v>0</v>
      </c>
      <c r="P304" s="126"/>
      <c r="Q304" s="126">
        <v>1</v>
      </c>
      <c r="R304" s="126"/>
      <c r="S304" s="126">
        <v>1</v>
      </c>
      <c r="T304" s="124"/>
      <c r="U304" s="126">
        <v>1</v>
      </c>
      <c r="V304" s="126">
        <v>1</v>
      </c>
      <c r="W304" s="126">
        <v>1</v>
      </c>
      <c r="X304" s="126">
        <v>1</v>
      </c>
      <c r="Y304" s="126">
        <v>1</v>
      </c>
      <c r="Z304" s="124">
        <v>0</v>
      </c>
      <c r="AA304" s="126">
        <v>0</v>
      </c>
      <c r="AB304" s="124"/>
      <c r="AC304" s="126">
        <v>0</v>
      </c>
      <c r="AD304" s="124">
        <v>0</v>
      </c>
      <c r="AE304" s="126">
        <v>0</v>
      </c>
      <c r="AF304" s="124">
        <v>0</v>
      </c>
      <c r="AG304" s="126">
        <v>1</v>
      </c>
      <c r="AH304" s="126">
        <v>1</v>
      </c>
      <c r="AI304" s="126"/>
      <c r="AJ304" s="126"/>
      <c r="AK304" s="103">
        <v>39</v>
      </c>
    </row>
    <row r="305" spans="1:37" s="127" customFormat="1" ht="15.75">
      <c r="A305" s="120">
        <v>303</v>
      </c>
      <c r="B305" s="126" t="s">
        <v>565</v>
      </c>
      <c r="C305" s="129" t="s">
        <v>542</v>
      </c>
      <c r="D305" s="122" t="str">
        <f>"9180249"</f>
        <v>9180249</v>
      </c>
      <c r="E305" s="129" t="s">
        <v>468</v>
      </c>
      <c r="F305" s="126" t="s">
        <v>26</v>
      </c>
      <c r="G305" s="129" t="s">
        <v>131</v>
      </c>
      <c r="H305" s="126" t="s">
        <v>135</v>
      </c>
      <c r="I305" s="126">
        <v>2</v>
      </c>
      <c r="J305" s="126">
        <v>0</v>
      </c>
      <c r="K305" s="126">
        <v>2</v>
      </c>
      <c r="L305" s="124">
        <v>1</v>
      </c>
      <c r="M305" s="126">
        <v>0</v>
      </c>
      <c r="N305" s="126">
        <v>0</v>
      </c>
      <c r="O305" s="126">
        <v>0</v>
      </c>
      <c r="P305" s="126"/>
      <c r="Q305" s="126">
        <v>2</v>
      </c>
      <c r="R305" s="126"/>
      <c r="S305" s="126">
        <v>2</v>
      </c>
      <c r="T305" s="124"/>
      <c r="U305" s="126">
        <v>2</v>
      </c>
      <c r="V305" s="126">
        <v>1</v>
      </c>
      <c r="W305" s="126">
        <v>0</v>
      </c>
      <c r="X305" s="126">
        <v>0</v>
      </c>
      <c r="Y305" s="126">
        <v>0</v>
      </c>
      <c r="Z305" s="124">
        <v>0</v>
      </c>
      <c r="AA305" s="126" t="s">
        <v>891</v>
      </c>
      <c r="AB305" s="124"/>
      <c r="AC305" s="126">
        <v>0</v>
      </c>
      <c r="AD305" s="124">
        <v>0</v>
      </c>
      <c r="AE305" s="126">
        <v>0</v>
      </c>
      <c r="AF305" s="124">
        <v>0</v>
      </c>
      <c r="AG305" s="126">
        <v>0</v>
      </c>
      <c r="AH305" s="126">
        <v>0</v>
      </c>
      <c r="AI305" s="126"/>
      <c r="AJ305" s="126"/>
      <c r="AK305" s="103">
        <v>19</v>
      </c>
    </row>
    <row r="306" spans="1:37" s="127" customFormat="1" ht="15.75">
      <c r="A306" s="120">
        <v>304</v>
      </c>
      <c r="B306" s="126" t="s">
        <v>565</v>
      </c>
      <c r="C306" s="129" t="s">
        <v>564</v>
      </c>
      <c r="D306" s="122" t="str">
        <f>"9520972"</f>
        <v>9520972</v>
      </c>
      <c r="E306" s="129" t="s">
        <v>468</v>
      </c>
      <c r="F306" s="126" t="s">
        <v>26</v>
      </c>
      <c r="G306" s="129" t="s">
        <v>131</v>
      </c>
      <c r="H306" s="126" t="s">
        <v>577</v>
      </c>
      <c r="I306" s="126">
        <v>0</v>
      </c>
      <c r="J306" s="126">
        <v>0</v>
      </c>
      <c r="K306" s="126">
        <v>0</v>
      </c>
      <c r="L306" s="124"/>
      <c r="M306" s="126">
        <v>0</v>
      </c>
      <c r="N306" s="126">
        <v>0</v>
      </c>
      <c r="O306" s="126">
        <v>1</v>
      </c>
      <c r="P306" s="126">
        <v>1</v>
      </c>
      <c r="Q306" s="126">
        <v>0</v>
      </c>
      <c r="R306" s="126"/>
      <c r="S306" s="126">
        <v>0</v>
      </c>
      <c r="T306" s="124"/>
      <c r="U306" s="126">
        <v>0</v>
      </c>
      <c r="V306" s="126"/>
      <c r="W306" s="126">
        <v>0</v>
      </c>
      <c r="X306" s="126">
        <v>0</v>
      </c>
      <c r="Y306" s="126">
        <v>0</v>
      </c>
      <c r="Z306" s="124">
        <v>0</v>
      </c>
      <c r="AA306" s="126">
        <v>0</v>
      </c>
      <c r="AB306" s="124"/>
      <c r="AC306" s="126">
        <v>0</v>
      </c>
      <c r="AD306" s="124">
        <v>0</v>
      </c>
      <c r="AE306" s="126">
        <v>0</v>
      </c>
      <c r="AF306" s="124">
        <v>0</v>
      </c>
      <c r="AG306" s="126">
        <v>0</v>
      </c>
      <c r="AH306" s="126">
        <v>0</v>
      </c>
      <c r="AI306" s="126"/>
      <c r="AJ306" s="126"/>
      <c r="AK306" s="103">
        <v>15</v>
      </c>
    </row>
    <row r="307" spans="1:37" s="127" customFormat="1" ht="15.75">
      <c r="A307" s="120">
        <v>305</v>
      </c>
      <c r="B307" s="126" t="s">
        <v>565</v>
      </c>
      <c r="C307" s="129" t="s">
        <v>532</v>
      </c>
      <c r="D307" s="122" t="str">
        <f>"9180137"</f>
        <v>9180137</v>
      </c>
      <c r="E307" s="129" t="s">
        <v>468</v>
      </c>
      <c r="F307" s="126" t="s">
        <v>26</v>
      </c>
      <c r="G307" s="129" t="s">
        <v>130</v>
      </c>
      <c r="H307" s="126" t="s">
        <v>130</v>
      </c>
      <c r="I307" s="126">
        <v>1</v>
      </c>
      <c r="J307" s="126">
        <v>0</v>
      </c>
      <c r="K307" s="126">
        <v>2</v>
      </c>
      <c r="L307" s="124">
        <v>1</v>
      </c>
      <c r="M307" s="126">
        <v>1</v>
      </c>
      <c r="N307" s="126">
        <v>1</v>
      </c>
      <c r="O307" s="126">
        <v>2</v>
      </c>
      <c r="P307" s="126"/>
      <c r="Q307" s="126">
        <v>1</v>
      </c>
      <c r="R307" s="126"/>
      <c r="S307" s="126">
        <v>1</v>
      </c>
      <c r="T307" s="124"/>
      <c r="U307" s="126">
        <v>1</v>
      </c>
      <c r="V307" s="126">
        <v>1</v>
      </c>
      <c r="W307" s="126">
        <v>1</v>
      </c>
      <c r="X307" s="126">
        <v>1</v>
      </c>
      <c r="Y307" s="126">
        <v>1</v>
      </c>
      <c r="Z307" s="124">
        <v>0</v>
      </c>
      <c r="AA307" s="126" t="s">
        <v>889</v>
      </c>
      <c r="AB307" s="124"/>
      <c r="AC307" s="126">
        <v>0</v>
      </c>
      <c r="AD307" s="124">
        <v>0</v>
      </c>
      <c r="AE307" s="126">
        <v>2</v>
      </c>
      <c r="AF307" s="124">
        <v>0</v>
      </c>
      <c r="AG307" s="126">
        <v>2</v>
      </c>
      <c r="AH307" s="126">
        <v>2</v>
      </c>
      <c r="AI307" s="126"/>
      <c r="AJ307" s="126"/>
      <c r="AK307" s="103">
        <v>55</v>
      </c>
    </row>
    <row r="308" spans="1:37" s="127" customFormat="1" ht="15.75">
      <c r="A308" s="120">
        <v>306</v>
      </c>
      <c r="B308" s="126" t="s">
        <v>565</v>
      </c>
      <c r="C308" s="129" t="s">
        <v>543</v>
      </c>
      <c r="D308" s="122" t="str">
        <f>"9180139"</f>
        <v>9180139</v>
      </c>
      <c r="E308" s="129" t="s">
        <v>468</v>
      </c>
      <c r="F308" s="126" t="s">
        <v>26</v>
      </c>
      <c r="G308" s="129" t="s">
        <v>130</v>
      </c>
      <c r="H308" s="126" t="s">
        <v>130</v>
      </c>
      <c r="I308" s="126">
        <v>1</v>
      </c>
      <c r="J308" s="126">
        <v>0</v>
      </c>
      <c r="K308" s="126">
        <v>1</v>
      </c>
      <c r="L308" s="124">
        <v>1</v>
      </c>
      <c r="M308" s="126">
        <v>1</v>
      </c>
      <c r="N308" s="126">
        <v>1</v>
      </c>
      <c r="O308" s="126">
        <v>1</v>
      </c>
      <c r="P308" s="126"/>
      <c r="Q308" s="126">
        <v>1</v>
      </c>
      <c r="R308" s="126"/>
      <c r="S308" s="126">
        <v>1</v>
      </c>
      <c r="T308" s="124"/>
      <c r="U308" s="126">
        <v>1</v>
      </c>
      <c r="V308" s="126">
        <v>1</v>
      </c>
      <c r="W308" s="126">
        <v>1</v>
      </c>
      <c r="X308" s="126">
        <v>1</v>
      </c>
      <c r="Y308" s="126">
        <v>1</v>
      </c>
      <c r="Z308" s="124">
        <v>0</v>
      </c>
      <c r="AA308" s="126">
        <v>0</v>
      </c>
      <c r="AB308" s="124"/>
      <c r="AC308" s="126">
        <v>0</v>
      </c>
      <c r="AD308" s="124">
        <v>0</v>
      </c>
      <c r="AE308" s="126">
        <v>1</v>
      </c>
      <c r="AF308" s="124">
        <v>0</v>
      </c>
      <c r="AG308" s="126">
        <v>1</v>
      </c>
      <c r="AH308" s="126">
        <v>1</v>
      </c>
      <c r="AI308" s="126"/>
      <c r="AJ308" s="126"/>
      <c r="AK308" s="103">
        <v>32</v>
      </c>
    </row>
    <row r="309" spans="1:37" s="127" customFormat="1" ht="15.75">
      <c r="A309" s="120">
        <v>307</v>
      </c>
      <c r="B309" s="126" t="s">
        <v>565</v>
      </c>
      <c r="C309" s="129" t="s">
        <v>530</v>
      </c>
      <c r="D309" s="122" t="str">
        <f>"9180146"</f>
        <v>9180146</v>
      </c>
      <c r="E309" s="129" t="s">
        <v>468</v>
      </c>
      <c r="F309" s="126" t="s">
        <v>26</v>
      </c>
      <c r="G309" s="129" t="s">
        <v>130</v>
      </c>
      <c r="H309" s="126" t="s">
        <v>574</v>
      </c>
      <c r="I309" s="126">
        <v>1</v>
      </c>
      <c r="J309" s="126">
        <v>0</v>
      </c>
      <c r="K309" s="126">
        <v>1</v>
      </c>
      <c r="L309" s="124">
        <v>1</v>
      </c>
      <c r="M309" s="126">
        <v>1</v>
      </c>
      <c r="N309" s="126">
        <v>1</v>
      </c>
      <c r="O309" s="126">
        <v>1</v>
      </c>
      <c r="P309" s="126"/>
      <c r="Q309" s="126">
        <v>0</v>
      </c>
      <c r="R309" s="126"/>
      <c r="S309" s="126">
        <v>0</v>
      </c>
      <c r="T309" s="124"/>
      <c r="U309" s="126">
        <v>0</v>
      </c>
      <c r="V309" s="126"/>
      <c r="W309" s="126">
        <v>0</v>
      </c>
      <c r="X309" s="126">
        <v>0</v>
      </c>
      <c r="Y309" s="126">
        <v>0</v>
      </c>
      <c r="Z309" s="124">
        <v>0</v>
      </c>
      <c r="AA309" s="126">
        <v>0</v>
      </c>
      <c r="AB309" s="124"/>
      <c r="AC309" s="126">
        <v>0</v>
      </c>
      <c r="AD309" s="124">
        <v>0</v>
      </c>
      <c r="AE309" s="126">
        <v>0</v>
      </c>
      <c r="AF309" s="124">
        <v>0</v>
      </c>
      <c r="AG309" s="126">
        <v>1</v>
      </c>
      <c r="AH309" s="126">
        <v>1</v>
      </c>
      <c r="AI309" s="126"/>
      <c r="AJ309" s="126"/>
      <c r="AK309" s="103">
        <v>8</v>
      </c>
    </row>
    <row r="310" spans="1:37" s="127" customFormat="1" ht="15.75">
      <c r="A310" s="120">
        <v>308</v>
      </c>
      <c r="B310" s="126" t="s">
        <v>565</v>
      </c>
      <c r="C310" s="129" t="s">
        <v>562</v>
      </c>
      <c r="D310" s="122" t="str">
        <f>"9180188"</f>
        <v>9180188</v>
      </c>
      <c r="E310" s="129" t="s">
        <v>468</v>
      </c>
      <c r="F310" s="126" t="s">
        <v>26</v>
      </c>
      <c r="G310" s="129" t="s">
        <v>130</v>
      </c>
      <c r="H310" s="126" t="s">
        <v>566</v>
      </c>
      <c r="I310" s="126">
        <v>1</v>
      </c>
      <c r="J310" s="126">
        <v>0</v>
      </c>
      <c r="K310" s="126">
        <v>0</v>
      </c>
      <c r="L310" s="124"/>
      <c r="M310" s="126">
        <v>1</v>
      </c>
      <c r="N310" s="126">
        <v>1</v>
      </c>
      <c r="O310" s="126">
        <v>0</v>
      </c>
      <c r="P310" s="126"/>
      <c r="Q310" s="126">
        <v>0</v>
      </c>
      <c r="R310" s="126"/>
      <c r="S310" s="126">
        <v>0</v>
      </c>
      <c r="T310" s="124"/>
      <c r="U310" s="126">
        <v>1</v>
      </c>
      <c r="V310" s="126">
        <v>1</v>
      </c>
      <c r="W310" s="126">
        <v>1</v>
      </c>
      <c r="X310" s="126">
        <v>1</v>
      </c>
      <c r="Y310" s="126">
        <v>0</v>
      </c>
      <c r="Z310" s="124">
        <v>0</v>
      </c>
      <c r="AA310" s="126">
        <v>0</v>
      </c>
      <c r="AB310" s="124"/>
      <c r="AC310" s="126">
        <v>0</v>
      </c>
      <c r="AD310" s="124">
        <v>0</v>
      </c>
      <c r="AE310" s="126">
        <v>0</v>
      </c>
      <c r="AF310" s="124">
        <v>0</v>
      </c>
      <c r="AG310" s="126">
        <v>1</v>
      </c>
      <c r="AH310" s="126">
        <v>1</v>
      </c>
      <c r="AI310" s="126"/>
      <c r="AJ310" s="126"/>
      <c r="AK310" s="103">
        <v>14</v>
      </c>
    </row>
    <row r="311" spans="1:37" s="127" customFormat="1" ht="15.75">
      <c r="A311" s="120">
        <v>309</v>
      </c>
      <c r="B311" s="126" t="s">
        <v>565</v>
      </c>
      <c r="C311" s="129" t="s">
        <v>558</v>
      </c>
      <c r="D311" s="122" t="str">
        <f>"9521681"</f>
        <v>9521681</v>
      </c>
      <c r="E311" s="129" t="s">
        <v>468</v>
      </c>
      <c r="F311" s="126" t="s">
        <v>26</v>
      </c>
      <c r="G311" s="129" t="s">
        <v>130</v>
      </c>
      <c r="H311" s="126" t="s">
        <v>570</v>
      </c>
      <c r="I311" s="126"/>
      <c r="J311" s="126">
        <v>0</v>
      </c>
      <c r="K311" s="126"/>
      <c r="L311" s="124"/>
      <c r="M311" s="126"/>
      <c r="N311" s="126">
        <v>0</v>
      </c>
      <c r="O311" s="126"/>
      <c r="P311" s="126"/>
      <c r="Q311" s="126"/>
      <c r="R311" s="126"/>
      <c r="S311" s="126"/>
      <c r="T311" s="124"/>
      <c r="U311" s="126"/>
      <c r="V311" s="126"/>
      <c r="W311" s="126"/>
      <c r="X311" s="126"/>
      <c r="Y311" s="126"/>
      <c r="Z311" s="124">
        <v>0</v>
      </c>
      <c r="AA311" s="126"/>
      <c r="AB311" s="124"/>
      <c r="AC311" s="126"/>
      <c r="AD311" s="124">
        <v>0</v>
      </c>
      <c r="AE311" s="126"/>
      <c r="AF311" s="124">
        <v>0</v>
      </c>
      <c r="AG311" s="126"/>
      <c r="AH311" s="126"/>
      <c r="AI311" s="126"/>
      <c r="AJ311" s="126"/>
      <c r="AK311" s="103">
        <v>15</v>
      </c>
    </row>
    <row r="312" spans="1:37" s="127" customFormat="1" ht="29.25">
      <c r="A312" s="120">
        <v>310</v>
      </c>
      <c r="B312" s="126" t="s">
        <v>453</v>
      </c>
      <c r="C312" s="121" t="s">
        <v>449</v>
      </c>
      <c r="D312" s="122" t="str">
        <f>"9200167"</f>
        <v>9200167</v>
      </c>
      <c r="E312" s="121" t="s">
        <v>467</v>
      </c>
      <c r="F312" s="132" t="s">
        <v>27</v>
      </c>
      <c r="G312" s="134" t="s">
        <v>226</v>
      </c>
      <c r="H312" s="133" t="s">
        <v>232</v>
      </c>
      <c r="I312" s="126"/>
      <c r="J312" s="126"/>
      <c r="K312" s="126">
        <v>1</v>
      </c>
      <c r="L312" s="124">
        <v>1</v>
      </c>
      <c r="M312" s="126">
        <v>2</v>
      </c>
      <c r="N312" s="126">
        <v>1</v>
      </c>
      <c r="O312" s="126">
        <v>1</v>
      </c>
      <c r="P312" s="126"/>
      <c r="Q312" s="126">
        <v>1</v>
      </c>
      <c r="R312" s="126">
        <v>1</v>
      </c>
      <c r="S312" s="126">
        <v>1</v>
      </c>
      <c r="T312" s="124"/>
      <c r="U312" s="126">
        <v>1</v>
      </c>
      <c r="V312" s="126"/>
      <c r="W312" s="126">
        <v>1</v>
      </c>
      <c r="X312" s="126">
        <v>1</v>
      </c>
      <c r="Y312" s="126"/>
      <c r="Z312" s="124">
        <v>0</v>
      </c>
      <c r="AA312" s="126">
        <v>0</v>
      </c>
      <c r="AB312" s="124">
        <v>0</v>
      </c>
      <c r="AC312" s="126">
        <v>0</v>
      </c>
      <c r="AD312" s="124">
        <v>0</v>
      </c>
      <c r="AE312" s="126">
        <v>1</v>
      </c>
      <c r="AF312" s="124">
        <v>0</v>
      </c>
      <c r="AG312" s="126">
        <v>0</v>
      </c>
      <c r="AH312" s="126">
        <v>0</v>
      </c>
      <c r="AI312" s="126" t="s">
        <v>834</v>
      </c>
      <c r="AJ312" s="126" t="s">
        <v>834</v>
      </c>
      <c r="AK312" s="105">
        <v>13</v>
      </c>
    </row>
    <row r="313" spans="1:37" s="127" customFormat="1" ht="29.25">
      <c r="A313" s="120">
        <v>311</v>
      </c>
      <c r="B313" s="126" t="s">
        <v>453</v>
      </c>
      <c r="C313" s="121" t="s">
        <v>425</v>
      </c>
      <c r="D313" s="122" t="str">
        <f>"9200215"</f>
        <v>9200215</v>
      </c>
      <c r="E313" s="121" t="s">
        <v>467</v>
      </c>
      <c r="F313" s="132" t="s">
        <v>27</v>
      </c>
      <c r="G313" s="134" t="s">
        <v>226</v>
      </c>
      <c r="H313" s="133" t="s">
        <v>500</v>
      </c>
      <c r="I313" s="126"/>
      <c r="J313" s="126"/>
      <c r="K313" s="126">
        <v>1</v>
      </c>
      <c r="L313" s="124">
        <v>1</v>
      </c>
      <c r="M313" s="126">
        <v>2</v>
      </c>
      <c r="N313" s="126">
        <v>1</v>
      </c>
      <c r="O313" s="126">
        <v>1</v>
      </c>
      <c r="P313" s="126"/>
      <c r="Q313" s="126">
        <v>2</v>
      </c>
      <c r="R313" s="126">
        <v>1</v>
      </c>
      <c r="S313" s="126">
        <v>1</v>
      </c>
      <c r="T313" s="124"/>
      <c r="U313" s="126">
        <v>1</v>
      </c>
      <c r="V313" s="126"/>
      <c r="W313" s="126">
        <v>2</v>
      </c>
      <c r="X313" s="126">
        <v>2</v>
      </c>
      <c r="Y313" s="126"/>
      <c r="Z313" s="124">
        <v>0</v>
      </c>
      <c r="AA313" s="126">
        <v>0</v>
      </c>
      <c r="AB313" s="124">
        <v>0</v>
      </c>
      <c r="AC313" s="126">
        <v>0</v>
      </c>
      <c r="AD313" s="124">
        <v>0</v>
      </c>
      <c r="AE313" s="126">
        <v>1</v>
      </c>
      <c r="AF313" s="124">
        <v>0</v>
      </c>
      <c r="AG313" s="126">
        <v>0</v>
      </c>
      <c r="AH313" s="126">
        <v>0</v>
      </c>
      <c r="AI313" s="126" t="s">
        <v>841</v>
      </c>
      <c r="AJ313" s="126" t="s">
        <v>841</v>
      </c>
      <c r="AK313" s="105">
        <v>40</v>
      </c>
    </row>
    <row r="314" spans="1:37" s="127" customFormat="1" ht="29.25">
      <c r="A314" s="120">
        <v>312</v>
      </c>
      <c r="B314" s="126" t="s">
        <v>453</v>
      </c>
      <c r="C314" s="121" t="s">
        <v>461</v>
      </c>
      <c r="D314" s="121"/>
      <c r="E314" s="121" t="s">
        <v>467</v>
      </c>
      <c r="F314" s="132" t="s">
        <v>27</v>
      </c>
      <c r="G314" s="134" t="s">
        <v>226</v>
      </c>
      <c r="H314" s="133" t="s">
        <v>484</v>
      </c>
      <c r="I314" s="126">
        <v>10</v>
      </c>
      <c r="J314" s="126">
        <v>3</v>
      </c>
      <c r="K314" s="126">
        <v>0</v>
      </c>
      <c r="L314" s="124"/>
      <c r="M314" s="126">
        <v>1</v>
      </c>
      <c r="N314" s="126">
        <v>1</v>
      </c>
      <c r="O314" s="126">
        <v>0</v>
      </c>
      <c r="P314" s="126"/>
      <c r="Q314" s="126">
        <v>1</v>
      </c>
      <c r="R314" s="126">
        <v>1</v>
      </c>
      <c r="S314" s="126">
        <v>1</v>
      </c>
      <c r="T314" s="124"/>
      <c r="U314" s="126">
        <v>0</v>
      </c>
      <c r="V314" s="126"/>
      <c r="W314" s="126">
        <v>5</v>
      </c>
      <c r="X314" s="126">
        <v>5</v>
      </c>
      <c r="Y314" s="126">
        <v>1</v>
      </c>
      <c r="Z314" s="124">
        <v>1</v>
      </c>
      <c r="AA314" s="126">
        <v>0</v>
      </c>
      <c r="AB314" s="124">
        <v>0</v>
      </c>
      <c r="AC314" s="126">
        <v>0</v>
      </c>
      <c r="AD314" s="124">
        <v>0</v>
      </c>
      <c r="AE314" s="126">
        <v>14</v>
      </c>
      <c r="AF314" s="124">
        <v>0</v>
      </c>
      <c r="AG314" s="126">
        <v>0</v>
      </c>
      <c r="AH314" s="126">
        <v>0</v>
      </c>
      <c r="AI314" s="126"/>
      <c r="AJ314" s="126"/>
      <c r="AK314" s="105"/>
    </row>
    <row r="315" spans="1:37" s="127" customFormat="1" ht="29.25">
      <c r="A315" s="120">
        <v>313</v>
      </c>
      <c r="B315" s="126" t="s">
        <v>453</v>
      </c>
      <c r="C315" s="121" t="s">
        <v>462</v>
      </c>
      <c r="D315" s="121"/>
      <c r="E315" s="121" t="s">
        <v>467</v>
      </c>
      <c r="F315" s="132" t="s">
        <v>27</v>
      </c>
      <c r="G315" s="134" t="s">
        <v>226</v>
      </c>
      <c r="H315" s="133" t="s">
        <v>487</v>
      </c>
      <c r="I315" s="126">
        <v>10</v>
      </c>
      <c r="J315" s="126">
        <v>2</v>
      </c>
      <c r="K315" s="126">
        <v>0</v>
      </c>
      <c r="L315" s="124"/>
      <c r="M315" s="126">
        <v>1</v>
      </c>
      <c r="N315" s="126">
        <v>1</v>
      </c>
      <c r="O315" s="126">
        <v>0</v>
      </c>
      <c r="P315" s="126"/>
      <c r="Q315" s="126">
        <v>1</v>
      </c>
      <c r="R315" s="126">
        <v>1</v>
      </c>
      <c r="S315" s="126">
        <v>1</v>
      </c>
      <c r="T315" s="124"/>
      <c r="U315" s="126">
        <v>0</v>
      </c>
      <c r="V315" s="126"/>
      <c r="W315" s="126">
        <v>5</v>
      </c>
      <c r="X315" s="126">
        <v>5</v>
      </c>
      <c r="Y315" s="126">
        <v>1</v>
      </c>
      <c r="Z315" s="124">
        <v>1</v>
      </c>
      <c r="AA315" s="126">
        <v>0</v>
      </c>
      <c r="AB315" s="124">
        <v>0</v>
      </c>
      <c r="AC315" s="126">
        <v>0</v>
      </c>
      <c r="AD315" s="124">
        <v>0</v>
      </c>
      <c r="AE315" s="126">
        <v>14</v>
      </c>
      <c r="AF315" s="124">
        <v>0</v>
      </c>
      <c r="AG315" s="126">
        <v>0</v>
      </c>
      <c r="AH315" s="126">
        <v>0</v>
      </c>
      <c r="AI315" s="126"/>
      <c r="AJ315" s="126"/>
      <c r="AK315" s="105">
        <v>7</v>
      </c>
    </row>
    <row r="316" spans="1:37" s="127" customFormat="1" ht="15.75">
      <c r="A316" s="120">
        <v>314</v>
      </c>
      <c r="B316" s="126" t="s">
        <v>453</v>
      </c>
      <c r="C316" s="121" t="s">
        <v>428</v>
      </c>
      <c r="D316" s="122" t="str">
        <f>"9200091"</f>
        <v>9200091</v>
      </c>
      <c r="E316" s="121" t="s">
        <v>467</v>
      </c>
      <c r="F316" s="132" t="s">
        <v>27</v>
      </c>
      <c r="G316" s="122" t="s">
        <v>329</v>
      </c>
      <c r="H316" s="133" t="s">
        <v>478</v>
      </c>
      <c r="I316" s="126">
        <v>5</v>
      </c>
      <c r="J316" s="126">
        <v>1</v>
      </c>
      <c r="K316" s="126">
        <v>3</v>
      </c>
      <c r="L316" s="124">
        <v>1</v>
      </c>
      <c r="M316" s="126">
        <v>1</v>
      </c>
      <c r="N316" s="126">
        <v>1</v>
      </c>
      <c r="O316" s="126">
        <v>0</v>
      </c>
      <c r="P316" s="126"/>
      <c r="Q316" s="126">
        <v>0</v>
      </c>
      <c r="R316" s="126"/>
      <c r="S316" s="126">
        <v>2</v>
      </c>
      <c r="T316" s="124"/>
      <c r="U316" s="126">
        <v>1</v>
      </c>
      <c r="V316" s="126"/>
      <c r="W316" s="126">
        <v>1</v>
      </c>
      <c r="X316" s="126">
        <v>1</v>
      </c>
      <c r="Y316" s="126">
        <v>1</v>
      </c>
      <c r="Z316" s="124">
        <v>1</v>
      </c>
      <c r="AA316" s="126">
        <v>0</v>
      </c>
      <c r="AB316" s="124">
        <v>0</v>
      </c>
      <c r="AC316" s="126">
        <v>0</v>
      </c>
      <c r="AD316" s="124">
        <v>0</v>
      </c>
      <c r="AE316" s="126">
        <v>0</v>
      </c>
      <c r="AF316" s="124">
        <v>0</v>
      </c>
      <c r="AG316" s="126">
        <v>0</v>
      </c>
      <c r="AH316" s="126">
        <v>0</v>
      </c>
      <c r="AI316" s="126"/>
      <c r="AJ316" s="126"/>
      <c r="AK316" s="105">
        <v>39</v>
      </c>
    </row>
    <row r="317" spans="1:37" s="127" customFormat="1" ht="15.75">
      <c r="A317" s="120">
        <v>315</v>
      </c>
      <c r="B317" s="126" t="s">
        <v>453</v>
      </c>
      <c r="C317" s="121" t="s">
        <v>415</v>
      </c>
      <c r="D317" s="122" t="str">
        <f>"9200106"</f>
        <v>9200106</v>
      </c>
      <c r="E317" s="121" t="s">
        <v>467</v>
      </c>
      <c r="F317" s="132" t="s">
        <v>27</v>
      </c>
      <c r="G317" s="122" t="s">
        <v>329</v>
      </c>
      <c r="H317" s="133" t="s">
        <v>470</v>
      </c>
      <c r="I317" s="126"/>
      <c r="J317" s="126"/>
      <c r="K317" s="126"/>
      <c r="L317" s="124"/>
      <c r="M317" s="126"/>
      <c r="N317" s="126"/>
      <c r="O317" s="126"/>
      <c r="P317" s="126"/>
      <c r="Q317" s="126"/>
      <c r="R317" s="126"/>
      <c r="S317" s="126"/>
      <c r="T317" s="124"/>
      <c r="U317" s="126"/>
      <c r="V317" s="126"/>
      <c r="W317" s="126"/>
      <c r="X317" s="126"/>
      <c r="Y317" s="126"/>
      <c r="Z317" s="124">
        <v>0</v>
      </c>
      <c r="AA317" s="126"/>
      <c r="AB317" s="124">
        <v>0</v>
      </c>
      <c r="AC317" s="126"/>
      <c r="AD317" s="124">
        <v>0</v>
      </c>
      <c r="AE317" s="126"/>
      <c r="AF317" s="124">
        <v>0</v>
      </c>
      <c r="AG317" s="126"/>
      <c r="AH317" s="126"/>
      <c r="AI317" s="126"/>
      <c r="AJ317" s="126"/>
      <c r="AK317" s="105">
        <v>95</v>
      </c>
    </row>
    <row r="318" spans="1:37" s="127" customFormat="1" ht="15.75">
      <c r="A318" s="120">
        <v>316</v>
      </c>
      <c r="B318" s="126" t="s">
        <v>453</v>
      </c>
      <c r="C318" s="121" t="s">
        <v>448</v>
      </c>
      <c r="D318" s="122" t="str">
        <f>"9200132"</f>
        <v>9200132</v>
      </c>
      <c r="E318" s="121" t="s">
        <v>467</v>
      </c>
      <c r="F318" s="132" t="s">
        <v>27</v>
      </c>
      <c r="G318" s="122" t="s">
        <v>329</v>
      </c>
      <c r="H318" s="133" t="s">
        <v>504</v>
      </c>
      <c r="I318" s="126"/>
      <c r="J318" s="126"/>
      <c r="K318" s="126"/>
      <c r="L318" s="124"/>
      <c r="M318" s="126"/>
      <c r="N318" s="126"/>
      <c r="O318" s="126"/>
      <c r="P318" s="126"/>
      <c r="Q318" s="126"/>
      <c r="R318" s="126"/>
      <c r="S318" s="126"/>
      <c r="T318" s="124"/>
      <c r="U318" s="126"/>
      <c r="V318" s="126"/>
      <c r="W318" s="126"/>
      <c r="X318" s="126"/>
      <c r="Y318" s="126"/>
      <c r="Z318" s="124">
        <v>0</v>
      </c>
      <c r="AA318" s="126"/>
      <c r="AB318" s="124">
        <v>0</v>
      </c>
      <c r="AC318" s="126"/>
      <c r="AD318" s="124">
        <v>0</v>
      </c>
      <c r="AE318" s="126"/>
      <c r="AF318" s="124">
        <v>0</v>
      </c>
      <c r="AG318" s="126"/>
      <c r="AH318" s="126"/>
      <c r="AI318" s="126"/>
      <c r="AJ318" s="126"/>
      <c r="AK318" s="105"/>
    </row>
    <row r="319" spans="1:37" s="127" customFormat="1" ht="15.75">
      <c r="A319" s="120">
        <v>317</v>
      </c>
      <c r="B319" s="126" t="s">
        <v>453</v>
      </c>
      <c r="C319" s="121" t="s">
        <v>431</v>
      </c>
      <c r="D319" s="122" t="str">
        <f>"9200136"</f>
        <v>9200136</v>
      </c>
      <c r="E319" s="121" t="s">
        <v>467</v>
      </c>
      <c r="F319" s="132" t="s">
        <v>27</v>
      </c>
      <c r="G319" s="122" t="s">
        <v>329</v>
      </c>
      <c r="H319" s="133" t="s">
        <v>501</v>
      </c>
      <c r="I319" s="126">
        <v>4</v>
      </c>
      <c r="J319" s="126">
        <v>1</v>
      </c>
      <c r="K319" s="126">
        <v>0</v>
      </c>
      <c r="L319" s="124"/>
      <c r="M319" s="126">
        <v>0</v>
      </c>
      <c r="N319" s="126"/>
      <c r="O319" s="126">
        <v>0</v>
      </c>
      <c r="P319" s="126"/>
      <c r="Q319" s="126">
        <v>0</v>
      </c>
      <c r="R319" s="126"/>
      <c r="S319" s="126">
        <v>0</v>
      </c>
      <c r="T319" s="124"/>
      <c r="U319" s="126">
        <v>1</v>
      </c>
      <c r="V319" s="126">
        <v>1</v>
      </c>
      <c r="W319" s="126">
        <v>1</v>
      </c>
      <c r="X319" s="126">
        <v>1</v>
      </c>
      <c r="Y319" s="126">
        <v>1</v>
      </c>
      <c r="Z319" s="124">
        <v>1</v>
      </c>
      <c r="AA319" s="126">
        <v>0</v>
      </c>
      <c r="AB319" s="124">
        <v>0</v>
      </c>
      <c r="AC319" s="126">
        <v>0</v>
      </c>
      <c r="AD319" s="124">
        <v>0</v>
      </c>
      <c r="AE319" s="126">
        <v>0</v>
      </c>
      <c r="AF319" s="124">
        <v>0</v>
      </c>
      <c r="AG319" s="126">
        <v>0</v>
      </c>
      <c r="AH319" s="126">
        <v>0</v>
      </c>
      <c r="AI319" s="126"/>
      <c r="AJ319" s="126"/>
      <c r="AK319" s="105">
        <v>16</v>
      </c>
    </row>
    <row r="320" spans="1:37" s="127" customFormat="1" ht="15.75">
      <c r="A320" s="120">
        <v>318</v>
      </c>
      <c r="B320" s="126" t="s">
        <v>453</v>
      </c>
      <c r="C320" s="121" t="s">
        <v>443</v>
      </c>
      <c r="D320" s="122" t="str">
        <f>"9200147"</f>
        <v>9200147</v>
      </c>
      <c r="E320" s="121" t="s">
        <v>467</v>
      </c>
      <c r="F320" s="132" t="s">
        <v>27</v>
      </c>
      <c r="G320" s="122" t="s">
        <v>329</v>
      </c>
      <c r="H320" s="133" t="s">
        <v>503</v>
      </c>
      <c r="I320" s="126">
        <v>2</v>
      </c>
      <c r="J320" s="126">
        <v>1</v>
      </c>
      <c r="K320" s="126">
        <v>2</v>
      </c>
      <c r="L320" s="124">
        <v>1</v>
      </c>
      <c r="M320" s="126">
        <v>0</v>
      </c>
      <c r="N320" s="126"/>
      <c r="O320" s="126">
        <v>1</v>
      </c>
      <c r="P320" s="126"/>
      <c r="Q320" s="126">
        <v>0</v>
      </c>
      <c r="R320" s="126"/>
      <c r="S320" s="126">
        <v>0</v>
      </c>
      <c r="T320" s="124"/>
      <c r="U320" s="126">
        <v>1</v>
      </c>
      <c r="V320" s="126">
        <v>1</v>
      </c>
      <c r="W320" s="126">
        <v>1</v>
      </c>
      <c r="X320" s="126">
        <v>1</v>
      </c>
      <c r="Y320" s="126">
        <v>0</v>
      </c>
      <c r="Z320" s="124">
        <v>0</v>
      </c>
      <c r="AA320" s="126">
        <v>0</v>
      </c>
      <c r="AB320" s="124">
        <v>0</v>
      </c>
      <c r="AC320" s="126">
        <v>0</v>
      </c>
      <c r="AD320" s="124">
        <v>0</v>
      </c>
      <c r="AE320" s="126">
        <v>0</v>
      </c>
      <c r="AF320" s="124">
        <v>0</v>
      </c>
      <c r="AG320" s="126">
        <v>0</v>
      </c>
      <c r="AH320" s="126">
        <v>0</v>
      </c>
      <c r="AI320" s="126"/>
      <c r="AJ320" s="126"/>
      <c r="AK320" s="105">
        <v>9</v>
      </c>
    </row>
    <row r="321" spans="1:37" s="127" customFormat="1" ht="15.75">
      <c r="A321" s="120">
        <v>319</v>
      </c>
      <c r="B321" s="126" t="s">
        <v>453</v>
      </c>
      <c r="C321" s="121" t="s">
        <v>426</v>
      </c>
      <c r="D321" s="122" t="str">
        <f>"9200257"</f>
        <v>9200257</v>
      </c>
      <c r="E321" s="121" t="s">
        <v>467</v>
      </c>
      <c r="F321" s="132" t="s">
        <v>27</v>
      </c>
      <c r="G321" s="122" t="s">
        <v>329</v>
      </c>
      <c r="H321" s="133" t="s">
        <v>476</v>
      </c>
      <c r="I321" s="126">
        <v>0</v>
      </c>
      <c r="J321" s="126">
        <v>0</v>
      </c>
      <c r="K321" s="126">
        <v>1</v>
      </c>
      <c r="L321" s="124">
        <v>1</v>
      </c>
      <c r="M321" s="126">
        <v>2</v>
      </c>
      <c r="N321" s="126">
        <v>1</v>
      </c>
      <c r="O321" s="126">
        <v>2</v>
      </c>
      <c r="P321" s="126"/>
      <c r="Q321" s="126">
        <v>1</v>
      </c>
      <c r="R321" s="126">
        <v>1</v>
      </c>
      <c r="S321" s="126">
        <v>1</v>
      </c>
      <c r="T321" s="124"/>
      <c r="U321" s="126">
        <v>1</v>
      </c>
      <c r="V321" s="126"/>
      <c r="W321" s="126">
        <v>2</v>
      </c>
      <c r="X321" s="126">
        <v>2</v>
      </c>
      <c r="Y321" s="126"/>
      <c r="Z321" s="124">
        <v>0</v>
      </c>
      <c r="AA321" s="126">
        <v>0</v>
      </c>
      <c r="AB321" s="124">
        <v>0</v>
      </c>
      <c r="AC321" s="126">
        <v>0</v>
      </c>
      <c r="AD321" s="124">
        <v>0</v>
      </c>
      <c r="AE321" s="126">
        <v>2</v>
      </c>
      <c r="AF321" s="124">
        <v>0</v>
      </c>
      <c r="AG321" s="126">
        <v>1</v>
      </c>
      <c r="AH321" s="126">
        <v>0</v>
      </c>
      <c r="AI321" s="126" t="s">
        <v>841</v>
      </c>
      <c r="AJ321" s="126" t="s">
        <v>841</v>
      </c>
      <c r="AK321" s="105">
        <v>8</v>
      </c>
    </row>
    <row r="322" spans="1:37" s="127" customFormat="1" ht="15.75">
      <c r="A322" s="120">
        <v>320</v>
      </c>
      <c r="B322" s="126" t="s">
        <v>453</v>
      </c>
      <c r="C322" s="121" t="s">
        <v>440</v>
      </c>
      <c r="D322" s="122" t="str">
        <f>"9200028"</f>
        <v>9200028</v>
      </c>
      <c r="E322" s="121" t="s">
        <v>467</v>
      </c>
      <c r="F322" s="132" t="s">
        <v>27</v>
      </c>
      <c r="G322" s="122" t="s">
        <v>335</v>
      </c>
      <c r="H322" s="133" t="s">
        <v>485</v>
      </c>
      <c r="I322" s="126">
        <v>1</v>
      </c>
      <c r="J322" s="126">
        <v>1</v>
      </c>
      <c r="K322" s="126">
        <v>2</v>
      </c>
      <c r="L322" s="124">
        <v>1</v>
      </c>
      <c r="M322" s="126">
        <v>0</v>
      </c>
      <c r="N322" s="126"/>
      <c r="O322" s="126">
        <v>0</v>
      </c>
      <c r="P322" s="126"/>
      <c r="Q322" s="126">
        <v>1</v>
      </c>
      <c r="R322" s="126">
        <v>1</v>
      </c>
      <c r="S322" s="126">
        <v>1</v>
      </c>
      <c r="T322" s="124"/>
      <c r="U322" s="126">
        <v>1</v>
      </c>
      <c r="V322" s="126"/>
      <c r="W322" s="126">
        <v>1</v>
      </c>
      <c r="X322" s="126">
        <v>1</v>
      </c>
      <c r="Y322" s="126">
        <v>1</v>
      </c>
      <c r="Z322" s="124">
        <v>1</v>
      </c>
      <c r="AA322" s="126">
        <v>1</v>
      </c>
      <c r="AB322" s="124">
        <v>1</v>
      </c>
      <c r="AC322" s="126">
        <v>0</v>
      </c>
      <c r="AD322" s="124">
        <v>0</v>
      </c>
      <c r="AE322" s="126">
        <v>0</v>
      </c>
      <c r="AF322" s="124">
        <v>0</v>
      </c>
      <c r="AG322" s="126">
        <v>1</v>
      </c>
      <c r="AH322" s="126">
        <v>0</v>
      </c>
      <c r="AI322" s="126"/>
      <c r="AJ322" s="126"/>
      <c r="AK322" s="105">
        <v>4</v>
      </c>
    </row>
    <row r="323" spans="1:37" s="127" customFormat="1" ht="15.75">
      <c r="A323" s="120">
        <v>321</v>
      </c>
      <c r="B323" s="126" t="s">
        <v>453</v>
      </c>
      <c r="C323" s="121" t="s">
        <v>444</v>
      </c>
      <c r="D323" s="122" t="str">
        <f>"9200293"</f>
        <v>9200293</v>
      </c>
      <c r="E323" s="121" t="s">
        <v>467</v>
      </c>
      <c r="F323" s="132" t="s">
        <v>27</v>
      </c>
      <c r="G323" s="122" t="s">
        <v>335</v>
      </c>
      <c r="H323" s="133" t="s">
        <v>369</v>
      </c>
      <c r="I323" s="126"/>
      <c r="J323" s="126"/>
      <c r="K323" s="126">
        <v>1</v>
      </c>
      <c r="L323" s="124">
        <v>1</v>
      </c>
      <c r="M323" s="126">
        <v>1</v>
      </c>
      <c r="N323" s="126">
        <v>1</v>
      </c>
      <c r="O323" s="126">
        <v>0</v>
      </c>
      <c r="P323" s="126"/>
      <c r="Q323" s="126">
        <v>1</v>
      </c>
      <c r="R323" s="126">
        <v>1</v>
      </c>
      <c r="S323" s="126">
        <v>0</v>
      </c>
      <c r="T323" s="124"/>
      <c r="U323" s="126">
        <v>0</v>
      </c>
      <c r="V323" s="126"/>
      <c r="W323" s="126">
        <v>0</v>
      </c>
      <c r="X323" s="126">
        <v>0</v>
      </c>
      <c r="Y323" s="126">
        <v>0</v>
      </c>
      <c r="Z323" s="124">
        <v>0</v>
      </c>
      <c r="AA323" s="126">
        <v>0</v>
      </c>
      <c r="AB323" s="124">
        <v>0</v>
      </c>
      <c r="AC323" s="126">
        <v>0</v>
      </c>
      <c r="AD323" s="124">
        <v>0</v>
      </c>
      <c r="AE323" s="126">
        <v>0</v>
      </c>
      <c r="AF323" s="124">
        <v>0</v>
      </c>
      <c r="AG323" s="126">
        <v>0</v>
      </c>
      <c r="AH323" s="126">
        <v>0</v>
      </c>
      <c r="AI323" s="126" t="s">
        <v>834</v>
      </c>
      <c r="AJ323" s="126" t="s">
        <v>834</v>
      </c>
      <c r="AK323" s="105">
        <v>6</v>
      </c>
    </row>
    <row r="324" spans="1:37" s="127" customFormat="1" ht="15.75">
      <c r="A324" s="120">
        <v>322</v>
      </c>
      <c r="B324" s="126" t="s">
        <v>453</v>
      </c>
      <c r="C324" s="121" t="s">
        <v>463</v>
      </c>
      <c r="D324" s="121"/>
      <c r="E324" s="121" t="s">
        <v>467</v>
      </c>
      <c r="F324" s="132" t="s">
        <v>27</v>
      </c>
      <c r="G324" s="122" t="s">
        <v>335</v>
      </c>
      <c r="H324" s="133" t="s">
        <v>489</v>
      </c>
      <c r="I324" s="126">
        <v>10</v>
      </c>
      <c r="J324" s="126">
        <v>2</v>
      </c>
      <c r="K324" s="126">
        <v>0</v>
      </c>
      <c r="L324" s="124"/>
      <c r="M324" s="126">
        <v>1</v>
      </c>
      <c r="N324" s="126">
        <v>1</v>
      </c>
      <c r="O324" s="126">
        <v>0</v>
      </c>
      <c r="P324" s="126"/>
      <c r="Q324" s="126">
        <v>1</v>
      </c>
      <c r="R324" s="126">
        <v>1</v>
      </c>
      <c r="S324" s="126">
        <v>1</v>
      </c>
      <c r="T324" s="124"/>
      <c r="U324" s="126">
        <v>0</v>
      </c>
      <c r="V324" s="126"/>
      <c r="W324" s="126">
        <v>5</v>
      </c>
      <c r="X324" s="126">
        <v>5</v>
      </c>
      <c r="Y324" s="126">
        <v>1</v>
      </c>
      <c r="Z324" s="124">
        <v>1</v>
      </c>
      <c r="AA324" s="126">
        <v>0</v>
      </c>
      <c r="AB324" s="124">
        <v>0</v>
      </c>
      <c r="AC324" s="126">
        <v>0</v>
      </c>
      <c r="AD324" s="124">
        <v>0</v>
      </c>
      <c r="AE324" s="126">
        <v>14</v>
      </c>
      <c r="AF324" s="124">
        <v>0</v>
      </c>
      <c r="AG324" s="126">
        <v>0</v>
      </c>
      <c r="AH324" s="126">
        <v>0</v>
      </c>
      <c r="AI324" s="126"/>
      <c r="AJ324" s="126"/>
      <c r="AK324" s="105"/>
    </row>
    <row r="325" spans="1:37" s="127" customFormat="1" ht="15.75">
      <c r="A325" s="120">
        <v>323</v>
      </c>
      <c r="B325" s="126" t="s">
        <v>453</v>
      </c>
      <c r="C325" s="121" t="s">
        <v>408</v>
      </c>
      <c r="D325" s="122" t="str">
        <f>"9200016"</f>
        <v>9200016</v>
      </c>
      <c r="E325" s="121" t="s">
        <v>467</v>
      </c>
      <c r="F325" s="132" t="s">
        <v>27</v>
      </c>
      <c r="G325" s="122" t="s">
        <v>228</v>
      </c>
      <c r="H325" s="133" t="s">
        <v>236</v>
      </c>
      <c r="I325" s="126"/>
      <c r="J325" s="126">
        <v>3</v>
      </c>
      <c r="K325" s="126">
        <v>1</v>
      </c>
      <c r="L325" s="124">
        <v>1</v>
      </c>
      <c r="M325" s="126">
        <v>2</v>
      </c>
      <c r="N325" s="126">
        <v>1</v>
      </c>
      <c r="O325" s="126">
        <v>10</v>
      </c>
      <c r="P325" s="126"/>
      <c r="Q325" s="126">
        <v>2</v>
      </c>
      <c r="R325" s="126">
        <v>1</v>
      </c>
      <c r="S325" s="126">
        <v>1</v>
      </c>
      <c r="T325" s="124"/>
      <c r="U325" s="126">
        <v>5</v>
      </c>
      <c r="V325" s="126"/>
      <c r="W325" s="126">
        <v>3</v>
      </c>
      <c r="X325" s="126">
        <v>3</v>
      </c>
      <c r="Y325" s="126"/>
      <c r="Z325" s="124">
        <v>0</v>
      </c>
      <c r="AA325" s="126" t="s">
        <v>878</v>
      </c>
      <c r="AB325" s="124">
        <v>0</v>
      </c>
      <c r="AC325" s="126">
        <v>0</v>
      </c>
      <c r="AD325" s="124">
        <v>0</v>
      </c>
      <c r="AE325" s="126">
        <v>6</v>
      </c>
      <c r="AF325" s="124">
        <v>0</v>
      </c>
      <c r="AG325" s="126">
        <v>0</v>
      </c>
      <c r="AH325" s="126">
        <v>0</v>
      </c>
      <c r="AI325" s="126" t="s">
        <v>841</v>
      </c>
      <c r="AJ325" s="126" t="s">
        <v>841</v>
      </c>
      <c r="AK325" s="105">
        <v>242</v>
      </c>
    </row>
    <row r="326" spans="1:37" s="127" customFormat="1" ht="15.75">
      <c r="A326" s="120">
        <v>324</v>
      </c>
      <c r="B326" s="126" t="s">
        <v>453</v>
      </c>
      <c r="C326" s="121" t="s">
        <v>427</v>
      </c>
      <c r="D326" s="122" t="str">
        <f>"9200020"</f>
        <v>9200020</v>
      </c>
      <c r="E326" s="121" t="s">
        <v>467</v>
      </c>
      <c r="F326" s="132" t="s">
        <v>27</v>
      </c>
      <c r="G326" s="122" t="s">
        <v>228</v>
      </c>
      <c r="H326" s="133" t="s">
        <v>228</v>
      </c>
      <c r="I326" s="126"/>
      <c r="J326" s="126"/>
      <c r="K326" s="126"/>
      <c r="L326" s="124"/>
      <c r="M326" s="126"/>
      <c r="N326" s="126"/>
      <c r="O326" s="126"/>
      <c r="P326" s="126"/>
      <c r="Q326" s="126"/>
      <c r="R326" s="126"/>
      <c r="S326" s="126"/>
      <c r="T326" s="124"/>
      <c r="U326" s="126"/>
      <c r="V326" s="126"/>
      <c r="W326" s="126"/>
      <c r="X326" s="126"/>
      <c r="Y326" s="126"/>
      <c r="Z326" s="124">
        <v>0</v>
      </c>
      <c r="AA326" s="126"/>
      <c r="AB326" s="124">
        <v>0</v>
      </c>
      <c r="AC326" s="126"/>
      <c r="AD326" s="124">
        <v>0</v>
      </c>
      <c r="AE326" s="126"/>
      <c r="AF326" s="124">
        <v>0</v>
      </c>
      <c r="AG326" s="126"/>
      <c r="AH326" s="126"/>
      <c r="AI326" s="126"/>
      <c r="AJ326" s="126"/>
      <c r="AK326" s="105">
        <v>16</v>
      </c>
    </row>
    <row r="327" spans="1:37" s="127" customFormat="1" ht="15.75">
      <c r="A327" s="120">
        <v>325</v>
      </c>
      <c r="B327" s="126" t="s">
        <v>453</v>
      </c>
      <c r="C327" s="121" t="s">
        <v>437</v>
      </c>
      <c r="D327" s="122" t="str">
        <f>"9200029"</f>
        <v>9200029</v>
      </c>
      <c r="E327" s="121" t="s">
        <v>467</v>
      </c>
      <c r="F327" s="132" t="s">
        <v>27</v>
      </c>
      <c r="G327" s="122" t="s">
        <v>228</v>
      </c>
      <c r="H327" s="133" t="s">
        <v>241</v>
      </c>
      <c r="I327" s="126"/>
      <c r="J327" s="126"/>
      <c r="K327" s="126">
        <v>1</v>
      </c>
      <c r="L327" s="124">
        <v>1</v>
      </c>
      <c r="M327" s="126">
        <v>3</v>
      </c>
      <c r="N327" s="126">
        <v>1</v>
      </c>
      <c r="O327" s="126">
        <v>6</v>
      </c>
      <c r="P327" s="126"/>
      <c r="Q327" s="126">
        <v>1</v>
      </c>
      <c r="R327" s="126">
        <v>1</v>
      </c>
      <c r="S327" s="126">
        <v>1</v>
      </c>
      <c r="T327" s="124"/>
      <c r="U327" s="126">
        <v>1</v>
      </c>
      <c r="V327" s="126"/>
      <c r="W327" s="126">
        <v>2</v>
      </c>
      <c r="X327" s="126">
        <v>2</v>
      </c>
      <c r="Y327" s="126"/>
      <c r="Z327" s="124">
        <v>0</v>
      </c>
      <c r="AA327" s="126">
        <v>0</v>
      </c>
      <c r="AB327" s="124">
        <v>0</v>
      </c>
      <c r="AC327" s="126">
        <v>0</v>
      </c>
      <c r="AD327" s="124">
        <v>0</v>
      </c>
      <c r="AE327" s="126">
        <v>4</v>
      </c>
      <c r="AF327" s="124">
        <v>0</v>
      </c>
      <c r="AG327" s="126">
        <v>0</v>
      </c>
      <c r="AH327" s="126">
        <v>0</v>
      </c>
      <c r="AI327" s="126" t="s">
        <v>841</v>
      </c>
      <c r="AJ327" s="126" t="s">
        <v>841</v>
      </c>
      <c r="AK327" s="105">
        <v>52</v>
      </c>
    </row>
    <row r="328" spans="1:37" s="127" customFormat="1" ht="15.75">
      <c r="A328" s="120">
        <v>326</v>
      </c>
      <c r="B328" s="126" t="s">
        <v>453</v>
      </c>
      <c r="C328" s="121" t="s">
        <v>450</v>
      </c>
      <c r="D328" s="122" t="str">
        <f>"9200073"</f>
        <v>9200073</v>
      </c>
      <c r="E328" s="121" t="s">
        <v>467</v>
      </c>
      <c r="F328" s="132" t="s">
        <v>27</v>
      </c>
      <c r="G328" s="122" t="s">
        <v>228</v>
      </c>
      <c r="H328" s="133" t="s">
        <v>488</v>
      </c>
      <c r="I328" s="126">
        <v>2</v>
      </c>
      <c r="J328" s="126">
        <v>1</v>
      </c>
      <c r="K328" s="126">
        <v>3</v>
      </c>
      <c r="L328" s="124">
        <v>1</v>
      </c>
      <c r="M328" s="126">
        <v>1</v>
      </c>
      <c r="N328" s="126">
        <v>1</v>
      </c>
      <c r="O328" s="126">
        <v>1</v>
      </c>
      <c r="P328" s="126"/>
      <c r="Q328" s="126">
        <v>1</v>
      </c>
      <c r="R328" s="126">
        <v>1</v>
      </c>
      <c r="S328" s="126">
        <v>0</v>
      </c>
      <c r="T328" s="124"/>
      <c r="U328" s="126">
        <v>1</v>
      </c>
      <c r="V328" s="126"/>
      <c r="W328" s="126">
        <v>1</v>
      </c>
      <c r="X328" s="126">
        <v>1</v>
      </c>
      <c r="Y328" s="126">
        <v>0</v>
      </c>
      <c r="Z328" s="124">
        <v>0</v>
      </c>
      <c r="AA328" s="126">
        <v>0</v>
      </c>
      <c r="AB328" s="124">
        <v>0</v>
      </c>
      <c r="AC328" s="126">
        <v>0</v>
      </c>
      <c r="AD328" s="124">
        <v>0</v>
      </c>
      <c r="AE328" s="126">
        <v>0</v>
      </c>
      <c r="AF328" s="124">
        <v>0</v>
      </c>
      <c r="AG328" s="126">
        <v>0</v>
      </c>
      <c r="AH328" s="126">
        <v>0</v>
      </c>
      <c r="AI328" s="126"/>
      <c r="AJ328" s="126"/>
      <c r="AK328" s="105">
        <v>43</v>
      </c>
    </row>
    <row r="329" spans="1:37" s="127" customFormat="1" ht="15.75">
      <c r="A329" s="120">
        <v>327</v>
      </c>
      <c r="B329" s="126" t="s">
        <v>453</v>
      </c>
      <c r="C329" s="121" t="s">
        <v>417</v>
      </c>
      <c r="D329" s="122" t="str">
        <f>"9200199"</f>
        <v>9200199</v>
      </c>
      <c r="E329" s="121" t="s">
        <v>467</v>
      </c>
      <c r="F329" s="132" t="s">
        <v>27</v>
      </c>
      <c r="G329" s="122" t="s">
        <v>228</v>
      </c>
      <c r="H329" s="133" t="s">
        <v>497</v>
      </c>
      <c r="I329" s="126">
        <v>0</v>
      </c>
      <c r="J329" s="126">
        <v>0</v>
      </c>
      <c r="K329" s="126">
        <v>1</v>
      </c>
      <c r="L329" s="124">
        <v>1</v>
      </c>
      <c r="M329" s="126">
        <v>2</v>
      </c>
      <c r="N329" s="126">
        <v>1</v>
      </c>
      <c r="O329" s="126">
        <v>2</v>
      </c>
      <c r="P329" s="126"/>
      <c r="Q329" s="126">
        <v>1</v>
      </c>
      <c r="R329" s="126">
        <v>1</v>
      </c>
      <c r="S329" s="126">
        <v>1</v>
      </c>
      <c r="T329" s="124"/>
      <c r="U329" s="126">
        <v>1</v>
      </c>
      <c r="V329" s="126"/>
      <c r="W329" s="126">
        <v>1</v>
      </c>
      <c r="X329" s="126">
        <v>1</v>
      </c>
      <c r="Y329" s="126">
        <v>0</v>
      </c>
      <c r="Z329" s="124">
        <v>0</v>
      </c>
      <c r="AA329" s="126">
        <v>0</v>
      </c>
      <c r="AB329" s="124">
        <v>0</v>
      </c>
      <c r="AC329" s="126">
        <v>0</v>
      </c>
      <c r="AD329" s="124">
        <v>0</v>
      </c>
      <c r="AE329" s="126">
        <v>2</v>
      </c>
      <c r="AF329" s="124">
        <v>0</v>
      </c>
      <c r="AG329" s="126">
        <v>0</v>
      </c>
      <c r="AH329" s="126">
        <v>0</v>
      </c>
      <c r="AI329" s="126" t="s">
        <v>841</v>
      </c>
      <c r="AJ329" s="126" t="s">
        <v>841</v>
      </c>
      <c r="AK329" s="105">
        <v>20</v>
      </c>
    </row>
    <row r="330" spans="1:37" s="127" customFormat="1" ht="15.75">
      <c r="A330" s="120">
        <v>328</v>
      </c>
      <c r="B330" s="126" t="s">
        <v>453</v>
      </c>
      <c r="C330" s="121" t="s">
        <v>421</v>
      </c>
      <c r="D330" s="122" t="str">
        <f>"9200215"</f>
        <v>9200215</v>
      </c>
      <c r="E330" s="121" t="s">
        <v>467</v>
      </c>
      <c r="F330" s="132" t="s">
        <v>27</v>
      </c>
      <c r="G330" s="122" t="s">
        <v>228</v>
      </c>
      <c r="H330" s="133" t="s">
        <v>474</v>
      </c>
      <c r="I330" s="126"/>
      <c r="J330" s="126"/>
      <c r="K330" s="126">
        <v>1</v>
      </c>
      <c r="L330" s="124">
        <v>1</v>
      </c>
      <c r="M330" s="126">
        <v>2</v>
      </c>
      <c r="N330" s="126">
        <v>1</v>
      </c>
      <c r="O330" s="126">
        <v>1</v>
      </c>
      <c r="P330" s="126"/>
      <c r="Q330" s="126">
        <v>2</v>
      </c>
      <c r="R330" s="126">
        <v>1</v>
      </c>
      <c r="S330" s="126">
        <v>1</v>
      </c>
      <c r="T330" s="124"/>
      <c r="U330" s="126">
        <v>1</v>
      </c>
      <c r="V330" s="126"/>
      <c r="W330" s="126">
        <v>2</v>
      </c>
      <c r="X330" s="126">
        <v>2</v>
      </c>
      <c r="Y330" s="126"/>
      <c r="Z330" s="124">
        <v>0</v>
      </c>
      <c r="AA330" s="126">
        <v>0</v>
      </c>
      <c r="AB330" s="124">
        <v>0</v>
      </c>
      <c r="AC330" s="126">
        <v>0</v>
      </c>
      <c r="AD330" s="124">
        <v>0</v>
      </c>
      <c r="AE330" s="126">
        <v>1</v>
      </c>
      <c r="AF330" s="124">
        <v>0</v>
      </c>
      <c r="AG330" s="126">
        <v>0</v>
      </c>
      <c r="AH330" s="126">
        <v>0</v>
      </c>
      <c r="AI330" s="126" t="s">
        <v>841</v>
      </c>
      <c r="AJ330" s="126" t="s">
        <v>841</v>
      </c>
      <c r="AK330" s="105">
        <v>4</v>
      </c>
    </row>
    <row r="331" spans="1:37" s="127" customFormat="1" ht="15.75">
      <c r="A331" s="120">
        <v>329</v>
      </c>
      <c r="B331" s="126" t="s">
        <v>453</v>
      </c>
      <c r="C331" s="121" t="s">
        <v>422</v>
      </c>
      <c r="D331" s="122" t="str">
        <f>"9200257"</f>
        <v>9200257</v>
      </c>
      <c r="E331" s="121" t="s">
        <v>467</v>
      </c>
      <c r="F331" s="132" t="s">
        <v>27</v>
      </c>
      <c r="G331" s="122" t="s">
        <v>228</v>
      </c>
      <c r="H331" s="133" t="s">
        <v>491</v>
      </c>
      <c r="I331" s="126">
        <v>0</v>
      </c>
      <c r="J331" s="126">
        <v>0</v>
      </c>
      <c r="K331" s="126">
        <v>1</v>
      </c>
      <c r="L331" s="124">
        <v>1</v>
      </c>
      <c r="M331" s="126">
        <v>2</v>
      </c>
      <c r="N331" s="126">
        <v>1</v>
      </c>
      <c r="O331" s="126">
        <v>2</v>
      </c>
      <c r="P331" s="126"/>
      <c r="Q331" s="126">
        <v>1</v>
      </c>
      <c r="R331" s="126">
        <v>1</v>
      </c>
      <c r="S331" s="126">
        <v>1</v>
      </c>
      <c r="T331" s="124"/>
      <c r="U331" s="126">
        <v>1</v>
      </c>
      <c r="V331" s="126"/>
      <c r="W331" s="126">
        <v>2</v>
      </c>
      <c r="X331" s="126">
        <v>2</v>
      </c>
      <c r="Y331" s="126"/>
      <c r="Z331" s="124">
        <v>0</v>
      </c>
      <c r="AA331" s="126">
        <v>0</v>
      </c>
      <c r="AB331" s="124">
        <v>0</v>
      </c>
      <c r="AC331" s="126">
        <v>0</v>
      </c>
      <c r="AD331" s="124">
        <v>0</v>
      </c>
      <c r="AE331" s="126">
        <v>2</v>
      </c>
      <c r="AF331" s="124">
        <v>0</v>
      </c>
      <c r="AG331" s="126">
        <v>1</v>
      </c>
      <c r="AH331" s="126">
        <v>0</v>
      </c>
      <c r="AI331" s="126" t="s">
        <v>841</v>
      </c>
      <c r="AJ331" s="126" t="s">
        <v>841</v>
      </c>
      <c r="AK331" s="105">
        <v>6</v>
      </c>
    </row>
    <row r="332" spans="1:37" s="127" customFormat="1" ht="15.75">
      <c r="A332" s="120">
        <v>330</v>
      </c>
      <c r="B332" s="126" t="s">
        <v>453</v>
      </c>
      <c r="C332" s="121" t="s">
        <v>433</v>
      </c>
      <c r="D332" s="122" t="str">
        <f>"9200367"</f>
        <v>9200367</v>
      </c>
      <c r="E332" s="121" t="s">
        <v>467</v>
      </c>
      <c r="F332" s="132" t="s">
        <v>27</v>
      </c>
      <c r="G332" s="122" t="s">
        <v>228</v>
      </c>
      <c r="H332" s="133" t="s">
        <v>481</v>
      </c>
      <c r="I332" s="126">
        <v>0</v>
      </c>
      <c r="J332" s="126">
        <v>0</v>
      </c>
      <c r="K332" s="126">
        <v>1</v>
      </c>
      <c r="L332" s="124">
        <v>1</v>
      </c>
      <c r="M332" s="126">
        <v>0</v>
      </c>
      <c r="N332" s="126"/>
      <c r="O332" s="126">
        <v>0</v>
      </c>
      <c r="P332" s="126"/>
      <c r="Q332" s="126">
        <v>1</v>
      </c>
      <c r="R332" s="126">
        <v>1</v>
      </c>
      <c r="S332" s="126">
        <v>1</v>
      </c>
      <c r="T332" s="124"/>
      <c r="U332" s="126">
        <v>0</v>
      </c>
      <c r="V332" s="126"/>
      <c r="W332" s="126">
        <v>0</v>
      </c>
      <c r="X332" s="126">
        <v>0</v>
      </c>
      <c r="Y332" s="126"/>
      <c r="Z332" s="124">
        <v>0</v>
      </c>
      <c r="AA332" s="126">
        <v>0</v>
      </c>
      <c r="AB332" s="124">
        <v>0</v>
      </c>
      <c r="AC332" s="126">
        <v>0</v>
      </c>
      <c r="AD332" s="124">
        <v>0</v>
      </c>
      <c r="AE332" s="126">
        <v>0</v>
      </c>
      <c r="AF332" s="124">
        <v>0</v>
      </c>
      <c r="AG332" s="126">
        <v>0</v>
      </c>
      <c r="AH332" s="126">
        <v>0</v>
      </c>
      <c r="AI332" s="126" t="s">
        <v>834</v>
      </c>
      <c r="AJ332" s="126" t="s">
        <v>834</v>
      </c>
      <c r="AK332" s="105">
        <v>17</v>
      </c>
    </row>
    <row r="333" spans="1:37" s="127" customFormat="1" ht="15.75">
      <c r="A333" s="120">
        <v>331</v>
      </c>
      <c r="B333" s="126" t="s">
        <v>453</v>
      </c>
      <c r="C333" s="121" t="s">
        <v>409</v>
      </c>
      <c r="D333" s="122" t="str">
        <f>"9521632"</f>
        <v>9521632</v>
      </c>
      <c r="E333" s="121" t="s">
        <v>467</v>
      </c>
      <c r="F333" s="132" t="s">
        <v>27</v>
      </c>
      <c r="G333" s="122" t="s">
        <v>228</v>
      </c>
      <c r="H333" s="133" t="s">
        <v>236</v>
      </c>
      <c r="I333" s="126">
        <v>10</v>
      </c>
      <c r="J333" s="126">
        <v>3</v>
      </c>
      <c r="K333" s="126">
        <v>10</v>
      </c>
      <c r="L333" s="124">
        <v>2</v>
      </c>
      <c r="M333" s="126">
        <v>10</v>
      </c>
      <c r="N333" s="126">
        <v>3</v>
      </c>
      <c r="O333" s="126">
        <v>10</v>
      </c>
      <c r="P333" s="126">
        <v>3</v>
      </c>
      <c r="Q333" s="126">
        <v>2</v>
      </c>
      <c r="R333" s="126">
        <v>1</v>
      </c>
      <c r="S333" s="126">
        <v>1</v>
      </c>
      <c r="T333" s="124"/>
      <c r="U333" s="126">
        <v>2</v>
      </c>
      <c r="V333" s="126"/>
      <c r="W333" s="126">
        <v>2</v>
      </c>
      <c r="X333" s="126">
        <v>2</v>
      </c>
      <c r="Y333" s="126">
        <v>1</v>
      </c>
      <c r="Z333" s="124">
        <v>1</v>
      </c>
      <c r="AA333" s="126">
        <v>0</v>
      </c>
      <c r="AB333" s="124">
        <v>0</v>
      </c>
      <c r="AC333" s="126">
        <v>0</v>
      </c>
      <c r="AD333" s="124">
        <v>0</v>
      </c>
      <c r="AE333" s="126">
        <v>6</v>
      </c>
      <c r="AF333" s="124">
        <v>0</v>
      </c>
      <c r="AG333" s="126">
        <v>0</v>
      </c>
      <c r="AH333" s="126">
        <v>0</v>
      </c>
      <c r="AI333" s="126"/>
      <c r="AJ333" s="126"/>
      <c r="AK333" s="105">
        <v>129</v>
      </c>
    </row>
    <row r="334" spans="1:37" s="127" customFormat="1" ht="15.75">
      <c r="A334" s="120">
        <v>332</v>
      </c>
      <c r="B334" s="126" t="s">
        <v>453</v>
      </c>
      <c r="C334" s="121" t="s">
        <v>458</v>
      </c>
      <c r="D334" s="121"/>
      <c r="E334" s="121" t="s">
        <v>467</v>
      </c>
      <c r="F334" s="132" t="s">
        <v>27</v>
      </c>
      <c r="G334" s="122" t="s">
        <v>228</v>
      </c>
      <c r="H334" s="133" t="s">
        <v>477</v>
      </c>
      <c r="I334" s="126">
        <v>10</v>
      </c>
      <c r="J334" s="126">
        <v>2</v>
      </c>
      <c r="K334" s="126">
        <v>0</v>
      </c>
      <c r="L334" s="124"/>
      <c r="M334" s="126">
        <v>1</v>
      </c>
      <c r="N334" s="126">
        <v>1</v>
      </c>
      <c r="O334" s="126">
        <v>0</v>
      </c>
      <c r="P334" s="126"/>
      <c r="Q334" s="126">
        <v>1</v>
      </c>
      <c r="R334" s="126">
        <v>1</v>
      </c>
      <c r="S334" s="126">
        <v>1</v>
      </c>
      <c r="T334" s="124"/>
      <c r="U334" s="126">
        <v>0</v>
      </c>
      <c r="V334" s="126"/>
      <c r="W334" s="126">
        <v>5</v>
      </c>
      <c r="X334" s="126">
        <v>5</v>
      </c>
      <c r="Y334" s="126">
        <v>1</v>
      </c>
      <c r="Z334" s="124">
        <v>1</v>
      </c>
      <c r="AA334" s="126">
        <v>0</v>
      </c>
      <c r="AB334" s="124">
        <v>0</v>
      </c>
      <c r="AC334" s="126">
        <v>0</v>
      </c>
      <c r="AD334" s="124">
        <v>0</v>
      </c>
      <c r="AE334" s="126">
        <v>14</v>
      </c>
      <c r="AF334" s="124">
        <v>0</v>
      </c>
      <c r="AG334" s="126">
        <v>0</v>
      </c>
      <c r="AH334" s="126">
        <v>0</v>
      </c>
      <c r="AI334" s="126"/>
      <c r="AJ334" s="126"/>
      <c r="AK334" s="105">
        <v>196</v>
      </c>
    </row>
    <row r="335" spans="1:37" s="127" customFormat="1" ht="15.75">
      <c r="A335" s="120">
        <v>333</v>
      </c>
      <c r="B335" s="126" t="s">
        <v>453</v>
      </c>
      <c r="C335" s="121" t="s">
        <v>381</v>
      </c>
      <c r="D335" s="122" t="str">
        <f>"9200003"</f>
        <v>9200003</v>
      </c>
      <c r="E335" s="121" t="s">
        <v>467</v>
      </c>
      <c r="F335" s="132" t="s">
        <v>27</v>
      </c>
      <c r="G335" s="122" t="s">
        <v>224</v>
      </c>
      <c r="H335" s="133" t="s">
        <v>27</v>
      </c>
      <c r="I335" s="126">
        <v>3</v>
      </c>
      <c r="J335" s="126">
        <v>3</v>
      </c>
      <c r="K335" s="126">
        <v>3</v>
      </c>
      <c r="L335" s="124">
        <v>1</v>
      </c>
      <c r="M335" s="126">
        <v>2</v>
      </c>
      <c r="N335" s="126">
        <v>1</v>
      </c>
      <c r="O335" s="126">
        <v>3</v>
      </c>
      <c r="P335" s="126"/>
      <c r="Q335" s="126">
        <v>2</v>
      </c>
      <c r="R335" s="126">
        <v>1</v>
      </c>
      <c r="S335" s="126">
        <v>1</v>
      </c>
      <c r="T335" s="124"/>
      <c r="U335" s="126">
        <v>2</v>
      </c>
      <c r="V335" s="126"/>
      <c r="W335" s="126">
        <v>4</v>
      </c>
      <c r="X335" s="126">
        <v>4</v>
      </c>
      <c r="Y335" s="126">
        <v>1</v>
      </c>
      <c r="Z335" s="124">
        <v>1</v>
      </c>
      <c r="AA335" s="126">
        <v>1</v>
      </c>
      <c r="AB335" s="124">
        <v>1</v>
      </c>
      <c r="AC335" s="126">
        <v>0</v>
      </c>
      <c r="AD335" s="124">
        <v>0</v>
      </c>
      <c r="AE335" s="126">
        <v>0</v>
      </c>
      <c r="AF335" s="124">
        <v>0</v>
      </c>
      <c r="AG335" s="126">
        <v>0</v>
      </c>
      <c r="AH335" s="126">
        <v>0</v>
      </c>
      <c r="AI335" s="126"/>
      <c r="AJ335" s="126"/>
      <c r="AK335" s="105">
        <v>220</v>
      </c>
    </row>
    <row r="336" spans="1:37" s="127" customFormat="1" ht="15.75">
      <c r="A336" s="120">
        <v>334</v>
      </c>
      <c r="B336" s="126" t="s">
        <v>453</v>
      </c>
      <c r="C336" s="121" t="s">
        <v>382</v>
      </c>
      <c r="D336" s="122" t="str">
        <f>"9200004"</f>
        <v>9200004</v>
      </c>
      <c r="E336" s="121" t="s">
        <v>467</v>
      </c>
      <c r="F336" s="132" t="s">
        <v>27</v>
      </c>
      <c r="G336" s="122" t="s">
        <v>224</v>
      </c>
      <c r="H336" s="133" t="s">
        <v>27</v>
      </c>
      <c r="I336" s="126">
        <v>5</v>
      </c>
      <c r="J336" s="126">
        <v>1</v>
      </c>
      <c r="K336" s="126">
        <v>5</v>
      </c>
      <c r="L336" s="124">
        <v>1</v>
      </c>
      <c r="M336" s="126">
        <v>3</v>
      </c>
      <c r="N336" s="126">
        <v>1</v>
      </c>
      <c r="O336" s="126">
        <v>11</v>
      </c>
      <c r="P336" s="126"/>
      <c r="Q336" s="126">
        <v>5</v>
      </c>
      <c r="R336" s="126">
        <v>1</v>
      </c>
      <c r="S336" s="126">
        <v>1</v>
      </c>
      <c r="T336" s="124"/>
      <c r="U336" s="126">
        <v>2</v>
      </c>
      <c r="V336" s="126"/>
      <c r="W336" s="126">
        <v>11</v>
      </c>
      <c r="X336" s="126">
        <v>11</v>
      </c>
      <c r="Y336" s="126">
        <v>1</v>
      </c>
      <c r="Z336" s="124">
        <v>1</v>
      </c>
      <c r="AA336" s="126">
        <v>1</v>
      </c>
      <c r="AB336" s="124">
        <v>1</v>
      </c>
      <c r="AC336" s="126">
        <v>0</v>
      </c>
      <c r="AD336" s="124">
        <v>0</v>
      </c>
      <c r="AE336" s="126">
        <v>4</v>
      </c>
      <c r="AF336" s="124">
        <v>0</v>
      </c>
      <c r="AG336" s="126">
        <v>0</v>
      </c>
      <c r="AH336" s="126">
        <v>0</v>
      </c>
      <c r="AI336" s="126"/>
      <c r="AJ336" s="126"/>
      <c r="AK336" s="105">
        <v>131</v>
      </c>
    </row>
    <row r="337" spans="1:37" s="127" customFormat="1" ht="15.75">
      <c r="A337" s="120">
        <v>335</v>
      </c>
      <c r="B337" s="126" t="s">
        <v>453</v>
      </c>
      <c r="C337" s="121" t="s">
        <v>387</v>
      </c>
      <c r="D337" s="122" t="str">
        <f>"9200005"</f>
        <v>9200005</v>
      </c>
      <c r="E337" s="121" t="s">
        <v>467</v>
      </c>
      <c r="F337" s="132" t="s">
        <v>27</v>
      </c>
      <c r="G337" s="122" t="s">
        <v>224</v>
      </c>
      <c r="H337" s="133" t="s">
        <v>27</v>
      </c>
      <c r="I337" s="126"/>
      <c r="J337" s="126">
        <v>3</v>
      </c>
      <c r="K337" s="126">
        <v>1</v>
      </c>
      <c r="L337" s="124">
        <v>1</v>
      </c>
      <c r="M337" s="126">
        <v>6</v>
      </c>
      <c r="N337" s="126"/>
      <c r="O337" s="126">
        <v>6</v>
      </c>
      <c r="P337" s="126">
        <v>1</v>
      </c>
      <c r="Q337" s="126">
        <v>3</v>
      </c>
      <c r="R337" s="126">
        <v>1</v>
      </c>
      <c r="S337" s="126">
        <v>3</v>
      </c>
      <c r="T337" s="124"/>
      <c r="U337" s="126">
        <v>3</v>
      </c>
      <c r="V337" s="126"/>
      <c r="W337" s="126">
        <v>3</v>
      </c>
      <c r="X337" s="126">
        <v>3</v>
      </c>
      <c r="Y337" s="126"/>
      <c r="Z337" s="124">
        <v>0</v>
      </c>
      <c r="AA337" s="126">
        <v>2</v>
      </c>
      <c r="AB337" s="124">
        <v>1</v>
      </c>
      <c r="AC337" s="126">
        <v>2</v>
      </c>
      <c r="AD337" s="124">
        <v>1</v>
      </c>
      <c r="AE337" s="126">
        <v>4</v>
      </c>
      <c r="AF337" s="124">
        <v>0</v>
      </c>
      <c r="AG337" s="126">
        <v>0</v>
      </c>
      <c r="AH337" s="126">
        <v>0</v>
      </c>
      <c r="AI337" s="126" t="s">
        <v>841</v>
      </c>
      <c r="AJ337" s="126" t="s">
        <v>841</v>
      </c>
      <c r="AK337" s="105">
        <v>221</v>
      </c>
    </row>
    <row r="338" spans="1:37" s="127" customFormat="1" ht="15.75">
      <c r="A338" s="120">
        <v>336</v>
      </c>
      <c r="B338" s="126" t="s">
        <v>453</v>
      </c>
      <c r="C338" s="121" t="s">
        <v>435</v>
      </c>
      <c r="D338" s="122" t="str">
        <f>"9200039"</f>
        <v>9200039</v>
      </c>
      <c r="E338" s="121" t="s">
        <v>467</v>
      </c>
      <c r="F338" s="132" t="s">
        <v>27</v>
      </c>
      <c r="G338" s="122" t="s">
        <v>224</v>
      </c>
      <c r="H338" s="133" t="s">
        <v>483</v>
      </c>
      <c r="I338" s="126">
        <v>0</v>
      </c>
      <c r="J338" s="126">
        <v>0</v>
      </c>
      <c r="K338" s="126">
        <v>0</v>
      </c>
      <c r="L338" s="124"/>
      <c r="M338" s="126">
        <v>0</v>
      </c>
      <c r="N338" s="126"/>
      <c r="O338" s="126">
        <v>0</v>
      </c>
      <c r="P338" s="126"/>
      <c r="Q338" s="126">
        <v>0</v>
      </c>
      <c r="R338" s="126"/>
      <c r="S338" s="126">
        <v>0</v>
      </c>
      <c r="T338" s="124"/>
      <c r="U338" s="126">
        <v>1</v>
      </c>
      <c r="V338" s="126">
        <v>1</v>
      </c>
      <c r="W338" s="126">
        <v>0</v>
      </c>
      <c r="X338" s="126">
        <v>0</v>
      </c>
      <c r="Y338" s="126">
        <v>0</v>
      </c>
      <c r="Z338" s="124">
        <v>0</v>
      </c>
      <c r="AA338" s="126">
        <v>0</v>
      </c>
      <c r="AB338" s="124">
        <v>0</v>
      </c>
      <c r="AC338" s="126">
        <v>0</v>
      </c>
      <c r="AD338" s="124">
        <v>0</v>
      </c>
      <c r="AE338" s="126">
        <v>3</v>
      </c>
      <c r="AF338" s="124">
        <v>0</v>
      </c>
      <c r="AG338" s="126">
        <v>0</v>
      </c>
      <c r="AH338" s="126">
        <v>0</v>
      </c>
      <c r="AI338" s="126" t="s">
        <v>841</v>
      </c>
      <c r="AJ338" s="126" t="s">
        <v>841</v>
      </c>
      <c r="AK338" s="105">
        <v>44</v>
      </c>
    </row>
    <row r="339" spans="1:37" s="127" customFormat="1" ht="15.75">
      <c r="A339" s="120">
        <v>337</v>
      </c>
      <c r="B339" s="126" t="s">
        <v>453</v>
      </c>
      <c r="C339" s="121" t="s">
        <v>416</v>
      </c>
      <c r="D339" s="122" t="str">
        <f>"9200042"</f>
        <v>9200042</v>
      </c>
      <c r="E339" s="121" t="s">
        <v>467</v>
      </c>
      <c r="F339" s="132" t="s">
        <v>27</v>
      </c>
      <c r="G339" s="122" t="s">
        <v>224</v>
      </c>
      <c r="H339" s="133" t="s">
        <v>496</v>
      </c>
      <c r="I339" s="126">
        <v>0</v>
      </c>
      <c r="J339" s="126">
        <v>0</v>
      </c>
      <c r="K339" s="126">
        <v>6</v>
      </c>
      <c r="L339" s="124">
        <v>1</v>
      </c>
      <c r="M339" s="126">
        <v>2</v>
      </c>
      <c r="N339" s="126">
        <v>1</v>
      </c>
      <c r="O339" s="126">
        <v>0</v>
      </c>
      <c r="P339" s="126"/>
      <c r="Q339" s="126">
        <v>1</v>
      </c>
      <c r="R339" s="126">
        <v>1</v>
      </c>
      <c r="S339" s="126">
        <v>0</v>
      </c>
      <c r="T339" s="124"/>
      <c r="U339" s="126">
        <v>1</v>
      </c>
      <c r="V339" s="126"/>
      <c r="W339" s="126">
        <v>1</v>
      </c>
      <c r="X339" s="126">
        <v>1</v>
      </c>
      <c r="Y339" s="126">
        <v>1</v>
      </c>
      <c r="Z339" s="124">
        <v>1</v>
      </c>
      <c r="AA339" s="126">
        <v>0</v>
      </c>
      <c r="AB339" s="124">
        <v>0</v>
      </c>
      <c r="AC339" s="126">
        <v>0</v>
      </c>
      <c r="AD339" s="124">
        <v>0</v>
      </c>
      <c r="AE339" s="126">
        <v>0</v>
      </c>
      <c r="AF339" s="124">
        <v>0</v>
      </c>
      <c r="AG339" s="126">
        <v>0</v>
      </c>
      <c r="AH339" s="126">
        <v>0</v>
      </c>
      <c r="AI339" s="126"/>
      <c r="AJ339" s="126"/>
      <c r="AK339" s="105"/>
    </row>
    <row r="340" spans="1:37" s="127" customFormat="1" ht="15.75">
      <c r="A340" s="120">
        <v>338</v>
      </c>
      <c r="B340" s="126" t="s">
        <v>453</v>
      </c>
      <c r="C340" s="121" t="s">
        <v>436</v>
      </c>
      <c r="D340" s="122" t="str">
        <f>"9200047"</f>
        <v>9200047</v>
      </c>
      <c r="E340" s="121" t="s">
        <v>467</v>
      </c>
      <c r="F340" s="132" t="s">
        <v>27</v>
      </c>
      <c r="G340" s="122" t="s">
        <v>224</v>
      </c>
      <c r="H340" s="133" t="s">
        <v>238</v>
      </c>
      <c r="I340" s="126">
        <v>6</v>
      </c>
      <c r="J340" s="126">
        <v>1</v>
      </c>
      <c r="K340" s="126">
        <v>6</v>
      </c>
      <c r="L340" s="124">
        <v>1</v>
      </c>
      <c r="M340" s="126">
        <v>6</v>
      </c>
      <c r="N340" s="126">
        <v>1</v>
      </c>
      <c r="O340" s="126">
        <v>2</v>
      </c>
      <c r="P340" s="126"/>
      <c r="Q340" s="126">
        <v>2</v>
      </c>
      <c r="R340" s="126">
        <v>1</v>
      </c>
      <c r="S340" s="126">
        <v>2</v>
      </c>
      <c r="T340" s="124"/>
      <c r="U340" s="126">
        <v>2</v>
      </c>
      <c r="V340" s="126"/>
      <c r="W340" s="126">
        <v>2</v>
      </c>
      <c r="X340" s="126">
        <v>2</v>
      </c>
      <c r="Y340" s="126">
        <v>0</v>
      </c>
      <c r="Z340" s="124">
        <v>0</v>
      </c>
      <c r="AA340" s="126">
        <v>1</v>
      </c>
      <c r="AB340" s="124">
        <v>1</v>
      </c>
      <c r="AC340" s="126">
        <v>1</v>
      </c>
      <c r="AD340" s="124">
        <v>1</v>
      </c>
      <c r="AE340" s="126">
        <v>0</v>
      </c>
      <c r="AF340" s="124">
        <v>0</v>
      </c>
      <c r="AG340" s="126">
        <v>0</v>
      </c>
      <c r="AH340" s="126">
        <v>0</v>
      </c>
      <c r="AI340" s="126"/>
      <c r="AJ340" s="126"/>
      <c r="AK340" s="105">
        <v>42</v>
      </c>
    </row>
    <row r="341" spans="1:37" s="127" customFormat="1" ht="15.75">
      <c r="A341" s="120">
        <v>339</v>
      </c>
      <c r="B341" s="126" t="s">
        <v>453</v>
      </c>
      <c r="C341" s="121" t="s">
        <v>447</v>
      </c>
      <c r="D341" s="122" t="str">
        <f>"9200065"</f>
        <v>9200065</v>
      </c>
      <c r="E341" s="121" t="s">
        <v>467</v>
      </c>
      <c r="F341" s="132" t="s">
        <v>27</v>
      </c>
      <c r="G341" s="122" t="s">
        <v>224</v>
      </c>
      <c r="H341" s="133" t="s">
        <v>332</v>
      </c>
      <c r="I341" s="126">
        <v>0</v>
      </c>
      <c r="J341" s="126">
        <v>0</v>
      </c>
      <c r="K341" s="126">
        <v>0</v>
      </c>
      <c r="L341" s="124"/>
      <c r="M341" s="126">
        <v>0</v>
      </c>
      <c r="N341" s="126"/>
      <c r="O341" s="126">
        <v>0</v>
      </c>
      <c r="P341" s="126"/>
      <c r="Q341" s="126">
        <v>0</v>
      </c>
      <c r="R341" s="126"/>
      <c r="S341" s="126">
        <v>0</v>
      </c>
      <c r="T341" s="124"/>
      <c r="U341" s="126">
        <v>0</v>
      </c>
      <c r="V341" s="126"/>
      <c r="W341" s="126">
        <v>0</v>
      </c>
      <c r="X341" s="126">
        <v>0</v>
      </c>
      <c r="Y341" s="126">
        <v>0</v>
      </c>
      <c r="Z341" s="124">
        <v>0</v>
      </c>
      <c r="AA341" s="126">
        <v>0</v>
      </c>
      <c r="AB341" s="124">
        <v>0</v>
      </c>
      <c r="AC341" s="126">
        <v>0</v>
      </c>
      <c r="AD341" s="124">
        <v>0</v>
      </c>
      <c r="AE341" s="126">
        <v>0</v>
      </c>
      <c r="AF341" s="124">
        <v>0</v>
      </c>
      <c r="AG341" s="126">
        <v>0</v>
      </c>
      <c r="AH341" s="126">
        <v>0</v>
      </c>
      <c r="AI341" s="126" t="s">
        <v>841</v>
      </c>
      <c r="AJ341" s="126" t="s">
        <v>841</v>
      </c>
      <c r="AK341" s="105">
        <v>122</v>
      </c>
    </row>
    <row r="342" spans="1:37" s="127" customFormat="1" ht="15.75">
      <c r="A342" s="120">
        <v>340</v>
      </c>
      <c r="B342" s="126" t="s">
        <v>453</v>
      </c>
      <c r="C342" s="121" t="s">
        <v>418</v>
      </c>
      <c r="D342" s="122" t="str">
        <f>"9200075"</f>
        <v>9200075</v>
      </c>
      <c r="E342" s="121" t="s">
        <v>467</v>
      </c>
      <c r="F342" s="132" t="s">
        <v>27</v>
      </c>
      <c r="G342" s="122" t="s">
        <v>224</v>
      </c>
      <c r="H342" s="133" t="s">
        <v>498</v>
      </c>
      <c r="I342" s="126"/>
      <c r="J342" s="126"/>
      <c r="K342" s="126">
        <v>1</v>
      </c>
      <c r="L342" s="124">
        <v>1</v>
      </c>
      <c r="M342" s="126">
        <v>0</v>
      </c>
      <c r="N342" s="126"/>
      <c r="O342" s="126">
        <v>4</v>
      </c>
      <c r="P342" s="126">
        <v>1</v>
      </c>
      <c r="Q342" s="126">
        <v>4</v>
      </c>
      <c r="R342" s="126">
        <v>1</v>
      </c>
      <c r="S342" s="126">
        <v>3</v>
      </c>
      <c r="T342" s="124"/>
      <c r="U342" s="126">
        <v>4</v>
      </c>
      <c r="V342" s="126"/>
      <c r="W342" s="126">
        <v>1</v>
      </c>
      <c r="X342" s="126">
        <v>1</v>
      </c>
      <c r="Y342" s="126"/>
      <c r="Z342" s="124">
        <v>0</v>
      </c>
      <c r="AA342" s="126" t="s">
        <v>881</v>
      </c>
      <c r="AB342" s="124">
        <v>1</v>
      </c>
      <c r="AC342" s="126" t="s">
        <v>882</v>
      </c>
      <c r="AD342" s="124">
        <v>1</v>
      </c>
      <c r="AE342" s="126">
        <v>1</v>
      </c>
      <c r="AF342" s="124">
        <v>0</v>
      </c>
      <c r="AG342" s="126">
        <v>0</v>
      </c>
      <c r="AH342" s="126">
        <v>0</v>
      </c>
      <c r="AI342" s="126" t="s">
        <v>834</v>
      </c>
      <c r="AJ342" s="126" t="s">
        <v>834</v>
      </c>
      <c r="AK342" s="105">
        <v>80</v>
      </c>
    </row>
    <row r="343" spans="1:37" s="127" customFormat="1" ht="15.75">
      <c r="A343" s="120">
        <v>341</v>
      </c>
      <c r="B343" s="126" t="s">
        <v>453</v>
      </c>
      <c r="C343" s="121" t="s">
        <v>424</v>
      </c>
      <c r="D343" s="122" t="str">
        <f>"9200091"</f>
        <v>9200091</v>
      </c>
      <c r="E343" s="121" t="s">
        <v>467</v>
      </c>
      <c r="F343" s="132" t="s">
        <v>27</v>
      </c>
      <c r="G343" s="122" t="s">
        <v>224</v>
      </c>
      <c r="H343" s="133" t="s">
        <v>475</v>
      </c>
      <c r="I343" s="126">
        <v>5</v>
      </c>
      <c r="J343" s="126">
        <v>1</v>
      </c>
      <c r="K343" s="126">
        <v>3</v>
      </c>
      <c r="L343" s="124">
        <v>1</v>
      </c>
      <c r="M343" s="126">
        <v>1</v>
      </c>
      <c r="N343" s="126">
        <v>1</v>
      </c>
      <c r="O343" s="126">
        <v>0</v>
      </c>
      <c r="P343" s="126"/>
      <c r="Q343" s="126">
        <v>0</v>
      </c>
      <c r="R343" s="126"/>
      <c r="S343" s="126">
        <v>2</v>
      </c>
      <c r="T343" s="124"/>
      <c r="U343" s="126">
        <v>1</v>
      </c>
      <c r="V343" s="126"/>
      <c r="W343" s="126">
        <v>1</v>
      </c>
      <c r="X343" s="126">
        <v>1</v>
      </c>
      <c r="Y343" s="126">
        <v>1</v>
      </c>
      <c r="Z343" s="124">
        <v>1</v>
      </c>
      <c r="AA343" s="126">
        <v>0</v>
      </c>
      <c r="AB343" s="124">
        <v>0</v>
      </c>
      <c r="AC343" s="126">
        <v>0</v>
      </c>
      <c r="AD343" s="124">
        <v>0</v>
      </c>
      <c r="AE343" s="126">
        <v>0</v>
      </c>
      <c r="AF343" s="124">
        <v>0</v>
      </c>
      <c r="AG343" s="126">
        <v>0</v>
      </c>
      <c r="AH343" s="126">
        <v>0</v>
      </c>
      <c r="AI343" s="126"/>
      <c r="AJ343" s="126"/>
      <c r="AK343" s="105">
        <v>7</v>
      </c>
    </row>
    <row r="344" spans="1:37" s="127" customFormat="1" ht="15.75">
      <c r="A344" s="120">
        <v>342</v>
      </c>
      <c r="B344" s="126" t="s">
        <v>453</v>
      </c>
      <c r="C344" s="121" t="s">
        <v>405</v>
      </c>
      <c r="D344" s="122" t="str">
        <f>"9200112"</f>
        <v>9200112</v>
      </c>
      <c r="E344" s="121" t="s">
        <v>467</v>
      </c>
      <c r="F344" s="132" t="s">
        <v>27</v>
      </c>
      <c r="G344" s="122" t="s">
        <v>224</v>
      </c>
      <c r="H344" s="133" t="s">
        <v>222</v>
      </c>
      <c r="I344" s="126">
        <v>8</v>
      </c>
      <c r="J344" s="126">
        <v>2</v>
      </c>
      <c r="K344" s="126">
        <v>2</v>
      </c>
      <c r="L344" s="124">
        <v>1</v>
      </c>
      <c r="M344" s="126">
        <v>1</v>
      </c>
      <c r="N344" s="126">
        <v>1</v>
      </c>
      <c r="O344" s="126">
        <v>0</v>
      </c>
      <c r="P344" s="126"/>
      <c r="Q344" s="126">
        <v>0</v>
      </c>
      <c r="R344" s="126"/>
      <c r="S344" s="126">
        <v>1</v>
      </c>
      <c r="T344" s="124"/>
      <c r="U344" s="126">
        <v>1</v>
      </c>
      <c r="V344" s="126">
        <v>1</v>
      </c>
      <c r="W344" s="126">
        <v>0</v>
      </c>
      <c r="X344" s="126">
        <v>0</v>
      </c>
      <c r="Y344" s="126">
        <v>1</v>
      </c>
      <c r="Z344" s="124">
        <v>1</v>
      </c>
      <c r="AA344" s="126">
        <v>0</v>
      </c>
      <c r="AB344" s="124">
        <v>0</v>
      </c>
      <c r="AC344" s="126">
        <v>0</v>
      </c>
      <c r="AD344" s="124">
        <v>0</v>
      </c>
      <c r="AE344" s="126">
        <v>8</v>
      </c>
      <c r="AF344" s="124">
        <v>0</v>
      </c>
      <c r="AG344" s="126">
        <v>0</v>
      </c>
      <c r="AH344" s="126">
        <v>0</v>
      </c>
      <c r="AI344" s="126"/>
      <c r="AJ344" s="126"/>
      <c r="AK344" s="105">
        <v>125</v>
      </c>
    </row>
    <row r="345" spans="1:37" s="127" customFormat="1" ht="15.75">
      <c r="A345" s="120">
        <v>343</v>
      </c>
      <c r="B345" s="126" t="s">
        <v>453</v>
      </c>
      <c r="C345" s="121" t="s">
        <v>434</v>
      </c>
      <c r="D345" s="122" t="str">
        <f>"9200135"</f>
        <v>9200135</v>
      </c>
      <c r="E345" s="121" t="s">
        <v>467</v>
      </c>
      <c r="F345" s="132" t="s">
        <v>27</v>
      </c>
      <c r="G345" s="122" t="s">
        <v>224</v>
      </c>
      <c r="H345" s="133" t="s">
        <v>237</v>
      </c>
      <c r="I345" s="126">
        <v>6</v>
      </c>
      <c r="J345" s="126">
        <v>1</v>
      </c>
      <c r="K345" s="126">
        <v>2</v>
      </c>
      <c r="L345" s="124">
        <v>1</v>
      </c>
      <c r="M345" s="126">
        <v>4</v>
      </c>
      <c r="N345" s="126">
        <v>1</v>
      </c>
      <c r="O345" s="126">
        <v>2</v>
      </c>
      <c r="P345" s="126"/>
      <c r="Q345" s="126">
        <v>2</v>
      </c>
      <c r="R345" s="126">
        <v>1</v>
      </c>
      <c r="S345" s="126">
        <v>2</v>
      </c>
      <c r="T345" s="124"/>
      <c r="U345" s="126">
        <v>2</v>
      </c>
      <c r="V345" s="126"/>
      <c r="W345" s="126">
        <v>0</v>
      </c>
      <c r="X345" s="126">
        <v>0</v>
      </c>
      <c r="Y345" s="126">
        <v>0</v>
      </c>
      <c r="Z345" s="124">
        <v>0</v>
      </c>
      <c r="AA345" s="126">
        <v>0</v>
      </c>
      <c r="AB345" s="124">
        <v>0</v>
      </c>
      <c r="AC345" s="126">
        <v>0</v>
      </c>
      <c r="AD345" s="124">
        <v>0</v>
      </c>
      <c r="AE345" s="126">
        <v>2</v>
      </c>
      <c r="AF345" s="124">
        <v>0</v>
      </c>
      <c r="AG345" s="126">
        <v>0</v>
      </c>
      <c r="AH345" s="126">
        <v>0</v>
      </c>
      <c r="AI345" s="126"/>
      <c r="AJ345" s="126"/>
      <c r="AK345" s="105">
        <v>135</v>
      </c>
    </row>
    <row r="346" spans="1:37" s="127" customFormat="1" ht="15.75">
      <c r="A346" s="120">
        <v>344</v>
      </c>
      <c r="B346" s="126" t="s">
        <v>453</v>
      </c>
      <c r="C346" s="121" t="s">
        <v>442</v>
      </c>
      <c r="D346" s="122" t="str">
        <f>"9200152"</f>
        <v>9200152</v>
      </c>
      <c r="E346" s="121" t="s">
        <v>467</v>
      </c>
      <c r="F346" s="132" t="s">
        <v>27</v>
      </c>
      <c r="G346" s="122" t="s">
        <v>224</v>
      </c>
      <c r="H346" s="133" t="s">
        <v>493</v>
      </c>
      <c r="I346" s="126"/>
      <c r="J346" s="126"/>
      <c r="K346" s="126">
        <v>1</v>
      </c>
      <c r="L346" s="124">
        <v>1</v>
      </c>
      <c r="M346" s="126">
        <v>1</v>
      </c>
      <c r="N346" s="126">
        <v>1</v>
      </c>
      <c r="O346" s="126">
        <v>4</v>
      </c>
      <c r="P346" s="126"/>
      <c r="Q346" s="126">
        <v>0</v>
      </c>
      <c r="R346" s="126"/>
      <c r="S346" s="126">
        <v>1</v>
      </c>
      <c r="T346" s="124"/>
      <c r="U346" s="126">
        <v>0</v>
      </c>
      <c r="V346" s="126"/>
      <c r="W346" s="126">
        <v>5</v>
      </c>
      <c r="X346" s="126">
        <v>5</v>
      </c>
      <c r="Y346" s="126"/>
      <c r="Z346" s="124">
        <v>0</v>
      </c>
      <c r="AA346" s="126">
        <v>1</v>
      </c>
      <c r="AB346" s="124">
        <v>1</v>
      </c>
      <c r="AC346" s="126">
        <v>1</v>
      </c>
      <c r="AD346" s="124">
        <v>1</v>
      </c>
      <c r="AE346" s="126">
        <v>8</v>
      </c>
      <c r="AF346" s="124">
        <v>0</v>
      </c>
      <c r="AG346" s="126">
        <v>0</v>
      </c>
      <c r="AH346" s="126">
        <v>0</v>
      </c>
      <c r="AI346" s="126" t="s">
        <v>841</v>
      </c>
      <c r="AJ346" s="126" t="s">
        <v>841</v>
      </c>
      <c r="AK346" s="105">
        <v>99</v>
      </c>
    </row>
    <row r="347" spans="1:37" s="127" customFormat="1" ht="15.75">
      <c r="A347" s="120">
        <v>345</v>
      </c>
      <c r="B347" s="126" t="s">
        <v>453</v>
      </c>
      <c r="C347" s="121" t="s">
        <v>394</v>
      </c>
      <c r="D347" s="122" t="str">
        <f>"9200194"</f>
        <v>9200194</v>
      </c>
      <c r="E347" s="121" t="s">
        <v>467</v>
      </c>
      <c r="F347" s="132" t="s">
        <v>27</v>
      </c>
      <c r="G347" s="122" t="s">
        <v>224</v>
      </c>
      <c r="H347" s="133" t="s">
        <v>27</v>
      </c>
      <c r="I347" s="126">
        <v>0</v>
      </c>
      <c r="J347" s="126">
        <v>3</v>
      </c>
      <c r="K347" s="126">
        <v>2</v>
      </c>
      <c r="L347" s="124">
        <v>1</v>
      </c>
      <c r="M347" s="126">
        <v>1</v>
      </c>
      <c r="N347" s="126">
        <v>1</v>
      </c>
      <c r="O347" s="126">
        <v>2</v>
      </c>
      <c r="P347" s="126"/>
      <c r="Q347" s="126">
        <v>0</v>
      </c>
      <c r="R347" s="126"/>
      <c r="S347" s="126">
        <v>0</v>
      </c>
      <c r="T347" s="124"/>
      <c r="U347" s="126">
        <v>1</v>
      </c>
      <c r="V347" s="126">
        <v>1</v>
      </c>
      <c r="W347" s="126">
        <v>2</v>
      </c>
      <c r="X347" s="126">
        <v>2</v>
      </c>
      <c r="Y347" s="126">
        <v>0</v>
      </c>
      <c r="Z347" s="124">
        <v>0</v>
      </c>
      <c r="AA347" s="126">
        <v>0</v>
      </c>
      <c r="AB347" s="124">
        <v>0</v>
      </c>
      <c r="AC347" s="126">
        <v>0</v>
      </c>
      <c r="AD347" s="124">
        <v>0</v>
      </c>
      <c r="AE347" s="126">
        <v>2</v>
      </c>
      <c r="AF347" s="124">
        <v>0</v>
      </c>
      <c r="AG347" s="126">
        <v>0</v>
      </c>
      <c r="AH347" s="126">
        <v>0</v>
      </c>
      <c r="AI347" s="126"/>
      <c r="AJ347" s="126"/>
      <c r="AK347" s="105">
        <v>282</v>
      </c>
    </row>
    <row r="348" spans="1:37" s="127" customFormat="1" ht="15.75">
      <c r="A348" s="120">
        <v>346</v>
      </c>
      <c r="B348" s="126" t="s">
        <v>453</v>
      </c>
      <c r="C348" s="121" t="s">
        <v>388</v>
      </c>
      <c r="D348" s="122" t="str">
        <f>"9200195"</f>
        <v>9200195</v>
      </c>
      <c r="E348" s="121" t="s">
        <v>467</v>
      </c>
      <c r="F348" s="132" t="s">
        <v>27</v>
      </c>
      <c r="G348" s="122" t="s">
        <v>224</v>
      </c>
      <c r="H348" s="133" t="s">
        <v>27</v>
      </c>
      <c r="I348" s="126">
        <v>12</v>
      </c>
      <c r="J348" s="126">
        <v>3</v>
      </c>
      <c r="K348" s="126">
        <v>5</v>
      </c>
      <c r="L348" s="124">
        <v>1</v>
      </c>
      <c r="M348" s="126">
        <v>5</v>
      </c>
      <c r="N348" s="126">
        <v>1</v>
      </c>
      <c r="O348" s="126">
        <v>4</v>
      </c>
      <c r="P348" s="126"/>
      <c r="Q348" s="126">
        <v>4</v>
      </c>
      <c r="R348" s="126">
        <v>1</v>
      </c>
      <c r="S348" s="126">
        <v>2</v>
      </c>
      <c r="T348" s="124"/>
      <c r="U348" s="126">
        <v>4</v>
      </c>
      <c r="V348" s="126"/>
      <c r="W348" s="126">
        <v>0</v>
      </c>
      <c r="X348" s="126">
        <v>0</v>
      </c>
      <c r="Y348" s="126">
        <v>1</v>
      </c>
      <c r="Z348" s="124">
        <v>1</v>
      </c>
      <c r="AA348" s="126">
        <v>0</v>
      </c>
      <c r="AB348" s="124">
        <v>0</v>
      </c>
      <c r="AC348" s="126">
        <v>0</v>
      </c>
      <c r="AD348" s="124">
        <v>0</v>
      </c>
      <c r="AE348" s="126">
        <v>14</v>
      </c>
      <c r="AF348" s="124">
        <v>0</v>
      </c>
      <c r="AG348" s="126">
        <v>0</v>
      </c>
      <c r="AH348" s="126">
        <v>0</v>
      </c>
      <c r="AI348" s="126"/>
      <c r="AJ348" s="126"/>
      <c r="AK348" s="106">
        <v>111</v>
      </c>
    </row>
    <row r="349" spans="1:37" s="127" customFormat="1" ht="15.75">
      <c r="A349" s="120">
        <v>347</v>
      </c>
      <c r="B349" s="126" t="s">
        <v>453</v>
      </c>
      <c r="C349" s="121" t="s">
        <v>413</v>
      </c>
      <c r="D349" s="122" t="str">
        <f>"9200250"</f>
        <v>9200250</v>
      </c>
      <c r="E349" s="121" t="s">
        <v>467</v>
      </c>
      <c r="F349" s="132" t="s">
        <v>27</v>
      </c>
      <c r="G349" s="122" t="s">
        <v>224</v>
      </c>
      <c r="H349" s="133" t="s">
        <v>469</v>
      </c>
      <c r="I349" s="126"/>
      <c r="J349" s="126"/>
      <c r="K349" s="126"/>
      <c r="L349" s="124"/>
      <c r="M349" s="126"/>
      <c r="N349" s="126"/>
      <c r="O349" s="126"/>
      <c r="P349" s="126"/>
      <c r="Q349" s="126"/>
      <c r="R349" s="126"/>
      <c r="S349" s="126"/>
      <c r="T349" s="124"/>
      <c r="U349" s="126"/>
      <c r="V349" s="126"/>
      <c r="W349" s="126"/>
      <c r="X349" s="126"/>
      <c r="Y349" s="126"/>
      <c r="Z349" s="124">
        <v>0</v>
      </c>
      <c r="AA349" s="126"/>
      <c r="AB349" s="124">
        <v>0</v>
      </c>
      <c r="AC349" s="126"/>
      <c r="AD349" s="124">
        <v>0</v>
      </c>
      <c r="AE349" s="126"/>
      <c r="AF349" s="124">
        <v>0</v>
      </c>
      <c r="AG349" s="126"/>
      <c r="AH349" s="126"/>
      <c r="AI349" s="126"/>
      <c r="AJ349" s="126"/>
      <c r="AK349" s="105">
        <v>43</v>
      </c>
    </row>
    <row r="350" spans="1:37" s="127" customFormat="1" ht="15.75">
      <c r="A350" s="120">
        <v>348</v>
      </c>
      <c r="B350" s="126" t="s">
        <v>453</v>
      </c>
      <c r="C350" s="121" t="s">
        <v>430</v>
      </c>
      <c r="D350" s="122" t="str">
        <f>"9200257"</f>
        <v>9200257</v>
      </c>
      <c r="E350" s="121" t="s">
        <v>467</v>
      </c>
      <c r="F350" s="132" t="s">
        <v>27</v>
      </c>
      <c r="G350" s="122" t="s">
        <v>224</v>
      </c>
      <c r="H350" s="133" t="s">
        <v>240</v>
      </c>
      <c r="I350" s="126">
        <v>0</v>
      </c>
      <c r="J350" s="126">
        <v>0</v>
      </c>
      <c r="K350" s="126">
        <v>1</v>
      </c>
      <c r="L350" s="124">
        <v>1</v>
      </c>
      <c r="M350" s="126">
        <v>2</v>
      </c>
      <c r="N350" s="126">
        <v>1</v>
      </c>
      <c r="O350" s="126">
        <v>2</v>
      </c>
      <c r="P350" s="126"/>
      <c r="Q350" s="126">
        <v>1</v>
      </c>
      <c r="R350" s="126"/>
      <c r="S350" s="126">
        <v>1</v>
      </c>
      <c r="T350" s="124"/>
      <c r="U350" s="126">
        <v>1</v>
      </c>
      <c r="V350" s="126"/>
      <c r="W350" s="126">
        <v>2</v>
      </c>
      <c r="X350" s="126">
        <v>2</v>
      </c>
      <c r="Y350" s="126"/>
      <c r="Z350" s="124">
        <v>0</v>
      </c>
      <c r="AA350" s="126">
        <v>0</v>
      </c>
      <c r="AB350" s="124">
        <v>0</v>
      </c>
      <c r="AC350" s="126">
        <v>0</v>
      </c>
      <c r="AD350" s="124">
        <v>0</v>
      </c>
      <c r="AE350" s="126">
        <v>2</v>
      </c>
      <c r="AF350" s="124">
        <v>0</v>
      </c>
      <c r="AG350" s="126">
        <v>1</v>
      </c>
      <c r="AH350" s="126">
        <v>0</v>
      </c>
      <c r="AI350" s="126" t="s">
        <v>841</v>
      </c>
      <c r="AJ350" s="126" t="s">
        <v>841</v>
      </c>
      <c r="AK350" s="105">
        <v>217</v>
      </c>
    </row>
    <row r="351" spans="1:37" s="127" customFormat="1" ht="15.75">
      <c r="A351" s="120">
        <v>349</v>
      </c>
      <c r="B351" s="126" t="s">
        <v>453</v>
      </c>
      <c r="C351" s="121" t="s">
        <v>446</v>
      </c>
      <c r="D351" s="122" t="str">
        <f>"9200263"</f>
        <v>9200263</v>
      </c>
      <c r="E351" s="121" t="s">
        <v>467</v>
      </c>
      <c r="F351" s="132" t="s">
        <v>27</v>
      </c>
      <c r="G351" s="122" t="s">
        <v>224</v>
      </c>
      <c r="H351" s="133" t="s">
        <v>239</v>
      </c>
      <c r="I351" s="126">
        <v>18</v>
      </c>
      <c r="J351" s="126">
        <v>3</v>
      </c>
      <c r="K351" s="126">
        <v>6</v>
      </c>
      <c r="L351" s="124">
        <v>1</v>
      </c>
      <c r="M351" s="126">
        <v>3</v>
      </c>
      <c r="N351" s="126">
        <v>1</v>
      </c>
      <c r="O351" s="126">
        <v>5</v>
      </c>
      <c r="P351" s="126"/>
      <c r="Q351" s="126">
        <v>2</v>
      </c>
      <c r="R351" s="126">
        <v>1</v>
      </c>
      <c r="S351" s="126">
        <v>1</v>
      </c>
      <c r="T351" s="124"/>
      <c r="U351" s="126">
        <v>0</v>
      </c>
      <c r="V351" s="126"/>
      <c r="W351" s="126">
        <v>5</v>
      </c>
      <c r="X351" s="126">
        <v>5</v>
      </c>
      <c r="Y351" s="126">
        <v>1</v>
      </c>
      <c r="Z351" s="124">
        <v>1</v>
      </c>
      <c r="AA351" s="126" t="s">
        <v>883</v>
      </c>
      <c r="AB351" s="124">
        <v>0</v>
      </c>
      <c r="AC351" s="126" t="s">
        <v>883</v>
      </c>
      <c r="AD351" s="124">
        <v>1</v>
      </c>
      <c r="AE351" s="126">
        <v>8</v>
      </c>
      <c r="AF351" s="124">
        <v>0</v>
      </c>
      <c r="AG351" s="126">
        <v>0</v>
      </c>
      <c r="AH351" s="126">
        <v>0</v>
      </c>
      <c r="AI351" s="126"/>
      <c r="AJ351" s="126"/>
      <c r="AK351" s="105">
        <v>261</v>
      </c>
    </row>
    <row r="352" spans="1:37" s="127" customFormat="1" ht="15.75">
      <c r="A352" s="120">
        <v>350</v>
      </c>
      <c r="B352" s="126" t="s">
        <v>453</v>
      </c>
      <c r="C352" s="121" t="s">
        <v>451</v>
      </c>
      <c r="D352" s="122" t="str">
        <f>"9200279"</f>
        <v>9200279</v>
      </c>
      <c r="E352" s="121" t="s">
        <v>467</v>
      </c>
      <c r="F352" s="132" t="s">
        <v>27</v>
      </c>
      <c r="G352" s="122" t="s">
        <v>224</v>
      </c>
      <c r="H352" s="133" t="s">
        <v>244</v>
      </c>
      <c r="I352" s="126">
        <v>2</v>
      </c>
      <c r="J352" s="126">
        <v>1</v>
      </c>
      <c r="K352" s="126">
        <v>2</v>
      </c>
      <c r="L352" s="124">
        <v>1</v>
      </c>
      <c r="M352" s="126">
        <v>2</v>
      </c>
      <c r="N352" s="126">
        <v>1</v>
      </c>
      <c r="O352" s="126">
        <v>2</v>
      </c>
      <c r="P352" s="126"/>
      <c r="Q352" s="126">
        <v>0</v>
      </c>
      <c r="R352" s="126"/>
      <c r="S352" s="126">
        <v>0</v>
      </c>
      <c r="T352" s="124"/>
      <c r="U352" s="126">
        <v>1</v>
      </c>
      <c r="V352" s="126">
        <v>1</v>
      </c>
      <c r="W352" s="126">
        <v>0</v>
      </c>
      <c r="X352" s="126">
        <v>0</v>
      </c>
      <c r="Y352" s="126">
        <v>0</v>
      </c>
      <c r="Z352" s="124">
        <v>0</v>
      </c>
      <c r="AA352" s="126">
        <v>0</v>
      </c>
      <c r="AB352" s="124">
        <v>0</v>
      </c>
      <c r="AC352" s="126">
        <v>0</v>
      </c>
      <c r="AD352" s="124">
        <v>0</v>
      </c>
      <c r="AE352" s="126">
        <v>2</v>
      </c>
      <c r="AF352" s="124">
        <v>0</v>
      </c>
      <c r="AG352" s="126">
        <v>0</v>
      </c>
      <c r="AH352" s="126">
        <v>0</v>
      </c>
      <c r="AI352" s="126"/>
      <c r="AJ352" s="126"/>
      <c r="AK352" s="105">
        <v>154</v>
      </c>
    </row>
    <row r="353" spans="1:37" s="127" customFormat="1" ht="15.75">
      <c r="A353" s="120">
        <v>351</v>
      </c>
      <c r="B353" s="126" t="s">
        <v>453</v>
      </c>
      <c r="C353" s="121" t="s">
        <v>403</v>
      </c>
      <c r="D353" s="122" t="str">
        <f>"9200405"</f>
        <v>9200405</v>
      </c>
      <c r="E353" s="121" t="s">
        <v>467</v>
      </c>
      <c r="F353" s="132" t="s">
        <v>27</v>
      </c>
      <c r="G353" s="122" t="s">
        <v>224</v>
      </c>
      <c r="H353" s="133" t="s">
        <v>27</v>
      </c>
      <c r="I353" s="126"/>
      <c r="J353" s="126"/>
      <c r="K353" s="126">
        <v>0</v>
      </c>
      <c r="L353" s="124"/>
      <c r="M353" s="126">
        <v>0</v>
      </c>
      <c r="N353" s="126"/>
      <c r="O353" s="126">
        <v>2</v>
      </c>
      <c r="P353" s="126">
        <v>1</v>
      </c>
      <c r="Q353" s="126">
        <v>0</v>
      </c>
      <c r="R353" s="126"/>
      <c r="S353" s="126">
        <v>1</v>
      </c>
      <c r="T353" s="124"/>
      <c r="U353" s="126">
        <v>1</v>
      </c>
      <c r="V353" s="126"/>
      <c r="W353" s="126">
        <v>5</v>
      </c>
      <c r="X353" s="126">
        <v>5</v>
      </c>
      <c r="Y353" s="126">
        <v>0</v>
      </c>
      <c r="Z353" s="124">
        <v>0</v>
      </c>
      <c r="AA353" s="126">
        <v>0</v>
      </c>
      <c r="AB353" s="124">
        <v>0</v>
      </c>
      <c r="AC353" s="126">
        <v>0</v>
      </c>
      <c r="AD353" s="124">
        <v>0</v>
      </c>
      <c r="AE353" s="126">
        <v>2</v>
      </c>
      <c r="AF353" s="124">
        <v>0</v>
      </c>
      <c r="AG353" s="126">
        <v>0</v>
      </c>
      <c r="AH353" s="126">
        <v>0</v>
      </c>
      <c r="AI353" s="126" t="s">
        <v>841</v>
      </c>
      <c r="AJ353" s="126" t="s">
        <v>841</v>
      </c>
      <c r="AK353" s="105">
        <v>14</v>
      </c>
    </row>
    <row r="354" spans="1:37" s="127" customFormat="1" ht="15.75">
      <c r="A354" s="120">
        <v>352</v>
      </c>
      <c r="B354" s="126" t="s">
        <v>453</v>
      </c>
      <c r="C354" s="121" t="s">
        <v>404</v>
      </c>
      <c r="D354" s="122" t="str">
        <f>"9200406"</f>
        <v>9200406</v>
      </c>
      <c r="E354" s="121" t="s">
        <v>467</v>
      </c>
      <c r="F354" s="132" t="s">
        <v>27</v>
      </c>
      <c r="G354" s="122" t="s">
        <v>224</v>
      </c>
      <c r="H354" s="133" t="s">
        <v>27</v>
      </c>
      <c r="I354" s="126"/>
      <c r="J354" s="126"/>
      <c r="K354" s="126">
        <v>0</v>
      </c>
      <c r="L354" s="124"/>
      <c r="M354" s="126">
        <v>0</v>
      </c>
      <c r="N354" s="126"/>
      <c r="O354" s="126">
        <v>1</v>
      </c>
      <c r="P354" s="126">
        <v>1</v>
      </c>
      <c r="Q354" s="126">
        <v>1</v>
      </c>
      <c r="R354" s="126">
        <v>1</v>
      </c>
      <c r="S354" s="126">
        <v>1</v>
      </c>
      <c r="T354" s="124"/>
      <c r="U354" s="126">
        <v>1</v>
      </c>
      <c r="V354" s="126"/>
      <c r="W354" s="126">
        <v>5</v>
      </c>
      <c r="X354" s="126">
        <v>5</v>
      </c>
      <c r="Y354" s="126">
        <v>0</v>
      </c>
      <c r="Z354" s="124">
        <v>0</v>
      </c>
      <c r="AA354" s="126">
        <v>0</v>
      </c>
      <c r="AB354" s="124">
        <v>0</v>
      </c>
      <c r="AC354" s="126">
        <v>0</v>
      </c>
      <c r="AD354" s="124">
        <v>0</v>
      </c>
      <c r="AE354" s="126">
        <v>0</v>
      </c>
      <c r="AF354" s="124">
        <v>0</v>
      </c>
      <c r="AG354" s="126">
        <v>0</v>
      </c>
      <c r="AH354" s="126">
        <v>0</v>
      </c>
      <c r="AI354" s="126" t="s">
        <v>841</v>
      </c>
      <c r="AJ354" s="126" t="s">
        <v>841</v>
      </c>
      <c r="AK354" s="105">
        <v>25</v>
      </c>
    </row>
    <row r="355" spans="1:37" s="127" customFormat="1" ht="15.75">
      <c r="A355" s="120">
        <v>353</v>
      </c>
      <c r="B355" s="126" t="s">
        <v>453</v>
      </c>
      <c r="C355" s="121" t="s">
        <v>402</v>
      </c>
      <c r="D355" s="122" t="str">
        <f>"9200428"</f>
        <v>9200428</v>
      </c>
      <c r="E355" s="121" t="s">
        <v>467</v>
      </c>
      <c r="F355" s="132" t="s">
        <v>27</v>
      </c>
      <c r="G355" s="122" t="s">
        <v>224</v>
      </c>
      <c r="H355" s="133" t="s">
        <v>27</v>
      </c>
      <c r="I355" s="126">
        <v>2</v>
      </c>
      <c r="J355" s="126">
        <v>1</v>
      </c>
      <c r="K355" s="126">
        <v>0</v>
      </c>
      <c r="L355" s="124"/>
      <c r="M355" s="126">
        <v>1</v>
      </c>
      <c r="N355" s="126">
        <v>1</v>
      </c>
      <c r="O355" s="126">
        <v>1</v>
      </c>
      <c r="P355" s="126"/>
      <c r="Q355" s="126">
        <v>0</v>
      </c>
      <c r="R355" s="126"/>
      <c r="S355" s="126">
        <v>0</v>
      </c>
      <c r="T355" s="124"/>
      <c r="U355" s="126">
        <v>0</v>
      </c>
      <c r="V355" s="126"/>
      <c r="W355" s="126">
        <v>1</v>
      </c>
      <c r="X355" s="126">
        <v>1</v>
      </c>
      <c r="Y355" s="126">
        <v>0</v>
      </c>
      <c r="Z355" s="124">
        <v>0</v>
      </c>
      <c r="AA355" s="126">
        <v>0</v>
      </c>
      <c r="AB355" s="124">
        <v>0</v>
      </c>
      <c r="AC355" s="126">
        <v>0</v>
      </c>
      <c r="AD355" s="124">
        <v>0</v>
      </c>
      <c r="AE355" s="126">
        <v>0</v>
      </c>
      <c r="AF355" s="124">
        <v>0</v>
      </c>
      <c r="AG355" s="126">
        <v>0</v>
      </c>
      <c r="AH355" s="126">
        <v>0</v>
      </c>
      <c r="AI355" s="126"/>
      <c r="AJ355" s="126"/>
      <c r="AK355" s="105">
        <v>136</v>
      </c>
    </row>
    <row r="356" spans="1:37" s="127" customFormat="1" ht="15.75">
      <c r="A356" s="120">
        <v>354</v>
      </c>
      <c r="B356" s="126" t="s">
        <v>453</v>
      </c>
      <c r="C356" s="121" t="s">
        <v>384</v>
      </c>
      <c r="D356" s="122" t="str">
        <f>"9200429"</f>
        <v>9200429</v>
      </c>
      <c r="E356" s="121" t="s">
        <v>467</v>
      </c>
      <c r="F356" s="132" t="s">
        <v>27</v>
      </c>
      <c r="G356" s="122" t="s">
        <v>224</v>
      </c>
      <c r="H356" s="133" t="s">
        <v>27</v>
      </c>
      <c r="I356" s="126">
        <v>8</v>
      </c>
      <c r="J356" s="126">
        <v>3</v>
      </c>
      <c r="K356" s="126">
        <v>8</v>
      </c>
      <c r="L356" s="124">
        <v>3</v>
      </c>
      <c r="M356" s="126">
        <v>2</v>
      </c>
      <c r="N356" s="126">
        <v>1</v>
      </c>
      <c r="O356" s="126">
        <v>8</v>
      </c>
      <c r="P356" s="126">
        <v>3</v>
      </c>
      <c r="Q356" s="126">
        <v>0</v>
      </c>
      <c r="R356" s="126"/>
      <c r="S356" s="126">
        <v>0</v>
      </c>
      <c r="T356" s="124"/>
      <c r="U356" s="126"/>
      <c r="V356" s="126">
        <v>1</v>
      </c>
      <c r="W356" s="126">
        <v>0</v>
      </c>
      <c r="X356" s="126">
        <v>0</v>
      </c>
      <c r="Y356" s="126">
        <v>1</v>
      </c>
      <c r="Z356" s="124">
        <v>1</v>
      </c>
      <c r="AA356" s="126">
        <v>0</v>
      </c>
      <c r="AB356" s="124">
        <v>0</v>
      </c>
      <c r="AC356" s="126">
        <v>0</v>
      </c>
      <c r="AD356" s="124">
        <v>0</v>
      </c>
      <c r="AE356" s="126">
        <v>8</v>
      </c>
      <c r="AF356" s="124">
        <v>0</v>
      </c>
      <c r="AG356" s="126">
        <v>0</v>
      </c>
      <c r="AH356" s="126">
        <v>0</v>
      </c>
      <c r="AI356" s="126"/>
      <c r="AJ356" s="126"/>
      <c r="AK356" s="105">
        <v>217</v>
      </c>
    </row>
    <row r="357" spans="1:37" s="127" customFormat="1" ht="15.75">
      <c r="A357" s="120">
        <v>355</v>
      </c>
      <c r="B357" s="126" t="s">
        <v>453</v>
      </c>
      <c r="C357" s="121" t="s">
        <v>396</v>
      </c>
      <c r="D357" s="122" t="str">
        <f>"9200430"</f>
        <v>9200430</v>
      </c>
      <c r="E357" s="121" t="s">
        <v>467</v>
      </c>
      <c r="F357" s="132" t="s">
        <v>27</v>
      </c>
      <c r="G357" s="122" t="s">
        <v>224</v>
      </c>
      <c r="H357" s="133" t="s">
        <v>27</v>
      </c>
      <c r="I357" s="126">
        <v>6</v>
      </c>
      <c r="J357" s="126">
        <v>2</v>
      </c>
      <c r="K357" s="126">
        <v>3</v>
      </c>
      <c r="L357" s="124">
        <v>1</v>
      </c>
      <c r="M357" s="126">
        <v>0</v>
      </c>
      <c r="N357" s="126"/>
      <c r="O357" s="126">
        <v>6</v>
      </c>
      <c r="P357" s="126">
        <v>1</v>
      </c>
      <c r="Q357" s="126">
        <v>0</v>
      </c>
      <c r="R357" s="126"/>
      <c r="S357" s="126">
        <v>1</v>
      </c>
      <c r="T357" s="124"/>
      <c r="U357" s="126">
        <v>0</v>
      </c>
      <c r="V357" s="126"/>
      <c r="W357" s="126">
        <v>2</v>
      </c>
      <c r="X357" s="126">
        <v>2</v>
      </c>
      <c r="Y357" s="126">
        <v>1</v>
      </c>
      <c r="Z357" s="124">
        <v>1</v>
      </c>
      <c r="AA357" s="126">
        <v>0</v>
      </c>
      <c r="AB357" s="124">
        <v>0</v>
      </c>
      <c r="AC357" s="126">
        <v>0</v>
      </c>
      <c r="AD357" s="124">
        <v>0</v>
      </c>
      <c r="AE357" s="126">
        <v>0</v>
      </c>
      <c r="AF357" s="124">
        <v>0</v>
      </c>
      <c r="AG357" s="126">
        <v>0</v>
      </c>
      <c r="AH357" s="126">
        <v>0</v>
      </c>
      <c r="AI357" s="126"/>
      <c r="AJ357" s="126"/>
      <c r="AK357" s="105">
        <v>122</v>
      </c>
    </row>
    <row r="358" spans="1:37" s="127" customFormat="1" ht="15.75">
      <c r="A358" s="120">
        <v>356</v>
      </c>
      <c r="B358" s="126" t="s">
        <v>453</v>
      </c>
      <c r="C358" s="121" t="s">
        <v>400</v>
      </c>
      <c r="D358" s="122" t="str">
        <f>"9200436"</f>
        <v>9200436</v>
      </c>
      <c r="E358" s="121" t="s">
        <v>467</v>
      </c>
      <c r="F358" s="132" t="s">
        <v>27</v>
      </c>
      <c r="G358" s="122" t="s">
        <v>224</v>
      </c>
      <c r="H358" s="133" t="s">
        <v>27</v>
      </c>
      <c r="I358" s="126">
        <v>2</v>
      </c>
      <c r="J358" s="126">
        <v>1</v>
      </c>
      <c r="K358" s="126">
        <v>2</v>
      </c>
      <c r="L358" s="124">
        <v>1</v>
      </c>
      <c r="M358" s="126">
        <v>1</v>
      </c>
      <c r="N358" s="126">
        <v>1</v>
      </c>
      <c r="O358" s="126">
        <v>4</v>
      </c>
      <c r="P358" s="126"/>
      <c r="Q358" s="126">
        <v>0</v>
      </c>
      <c r="R358" s="126"/>
      <c r="S358" s="126">
        <v>1</v>
      </c>
      <c r="T358" s="124"/>
      <c r="U358" s="126">
        <v>1</v>
      </c>
      <c r="V358" s="126"/>
      <c r="W358" s="126">
        <v>1</v>
      </c>
      <c r="X358" s="126">
        <v>1</v>
      </c>
      <c r="Y358" s="126">
        <v>1</v>
      </c>
      <c r="Z358" s="124">
        <v>1</v>
      </c>
      <c r="AA358" s="126">
        <v>0</v>
      </c>
      <c r="AB358" s="124">
        <v>0</v>
      </c>
      <c r="AC358" s="126">
        <v>0</v>
      </c>
      <c r="AD358" s="124">
        <v>0</v>
      </c>
      <c r="AE358" s="126">
        <v>4</v>
      </c>
      <c r="AF358" s="124">
        <v>0</v>
      </c>
      <c r="AG358" s="126">
        <v>0</v>
      </c>
      <c r="AH358" s="126">
        <v>0</v>
      </c>
      <c r="AI358" s="126"/>
      <c r="AJ358" s="126"/>
      <c r="AK358" s="105">
        <v>21</v>
      </c>
    </row>
    <row r="359" spans="1:37" s="127" customFormat="1" ht="15.75">
      <c r="A359" s="120">
        <v>357</v>
      </c>
      <c r="B359" s="126" t="s">
        <v>453</v>
      </c>
      <c r="C359" s="121" t="s">
        <v>414</v>
      </c>
      <c r="D359" s="122" t="str">
        <f>"9200439"</f>
        <v>9200439</v>
      </c>
      <c r="E359" s="121" t="s">
        <v>467</v>
      </c>
      <c r="F359" s="132" t="s">
        <v>27</v>
      </c>
      <c r="G359" s="122" t="s">
        <v>224</v>
      </c>
      <c r="H359" s="133" t="s">
        <v>469</v>
      </c>
      <c r="I359" s="126"/>
      <c r="J359" s="126"/>
      <c r="K359" s="126">
        <v>2</v>
      </c>
      <c r="L359" s="124">
        <v>1</v>
      </c>
      <c r="M359" s="126">
        <v>1</v>
      </c>
      <c r="N359" s="126">
        <v>1</v>
      </c>
      <c r="O359" s="126">
        <v>2</v>
      </c>
      <c r="P359" s="126"/>
      <c r="Q359" s="126">
        <v>0</v>
      </c>
      <c r="R359" s="126"/>
      <c r="S359" s="126">
        <v>2</v>
      </c>
      <c r="T359" s="124"/>
      <c r="U359" s="126">
        <v>1</v>
      </c>
      <c r="V359" s="126"/>
      <c r="W359" s="126">
        <v>2</v>
      </c>
      <c r="X359" s="126">
        <v>2</v>
      </c>
      <c r="Y359" s="126">
        <v>0</v>
      </c>
      <c r="Z359" s="124">
        <v>0</v>
      </c>
      <c r="AA359" s="126">
        <v>1</v>
      </c>
      <c r="AB359" s="124">
        <v>1</v>
      </c>
      <c r="AC359" s="126">
        <v>1</v>
      </c>
      <c r="AD359" s="124">
        <v>1</v>
      </c>
      <c r="AE359" s="126">
        <v>4</v>
      </c>
      <c r="AF359" s="124">
        <v>0</v>
      </c>
      <c r="AG359" s="126">
        <v>0</v>
      </c>
      <c r="AH359" s="126">
        <v>0</v>
      </c>
      <c r="AI359" s="126" t="s">
        <v>841</v>
      </c>
      <c r="AJ359" s="126" t="s">
        <v>841</v>
      </c>
      <c r="AK359" s="105">
        <v>67</v>
      </c>
    </row>
    <row r="360" spans="1:37" s="127" customFormat="1" ht="15.75">
      <c r="A360" s="120">
        <v>358</v>
      </c>
      <c r="B360" s="126" t="s">
        <v>453</v>
      </c>
      <c r="C360" s="121" t="s">
        <v>386</v>
      </c>
      <c r="D360" s="122" t="str">
        <f>"9200464"</f>
        <v>9200464</v>
      </c>
      <c r="E360" s="121" t="s">
        <v>467</v>
      </c>
      <c r="F360" s="132" t="s">
        <v>27</v>
      </c>
      <c r="G360" s="122" t="s">
        <v>224</v>
      </c>
      <c r="H360" s="133" t="s">
        <v>27</v>
      </c>
      <c r="I360" s="126">
        <v>12</v>
      </c>
      <c r="J360" s="126">
        <v>3</v>
      </c>
      <c r="K360" s="126">
        <v>8</v>
      </c>
      <c r="L360" s="124">
        <v>1</v>
      </c>
      <c r="M360" s="126">
        <v>4</v>
      </c>
      <c r="N360" s="126">
        <v>1</v>
      </c>
      <c r="O360" s="126">
        <v>8</v>
      </c>
      <c r="P360" s="126"/>
      <c r="Q360" s="126">
        <v>2</v>
      </c>
      <c r="R360" s="126">
        <v>1</v>
      </c>
      <c r="S360" s="126">
        <v>2</v>
      </c>
      <c r="T360" s="124"/>
      <c r="U360" s="126">
        <v>1</v>
      </c>
      <c r="V360" s="126"/>
      <c r="W360" s="126">
        <v>4</v>
      </c>
      <c r="X360" s="126">
        <v>4</v>
      </c>
      <c r="Y360" s="126">
        <v>1</v>
      </c>
      <c r="Z360" s="124">
        <v>1</v>
      </c>
      <c r="AA360" s="126" t="s">
        <v>880</v>
      </c>
      <c r="AB360" s="124">
        <v>0</v>
      </c>
      <c r="AC360" s="126">
        <v>0</v>
      </c>
      <c r="AD360" s="124">
        <v>0</v>
      </c>
      <c r="AE360" s="126">
        <v>2</v>
      </c>
      <c r="AF360" s="124">
        <v>0</v>
      </c>
      <c r="AG360" s="126">
        <v>0</v>
      </c>
      <c r="AH360" s="126">
        <v>0</v>
      </c>
      <c r="AI360" s="126"/>
      <c r="AJ360" s="126"/>
      <c r="AK360" s="105">
        <v>190</v>
      </c>
    </row>
    <row r="361" spans="1:37" s="127" customFormat="1" ht="15.75">
      <c r="A361" s="120">
        <v>359</v>
      </c>
      <c r="B361" s="126" t="s">
        <v>453</v>
      </c>
      <c r="C361" s="121" t="s">
        <v>390</v>
      </c>
      <c r="D361" s="122" t="str">
        <f>"9200465"</f>
        <v>9200465</v>
      </c>
      <c r="E361" s="121" t="s">
        <v>467</v>
      </c>
      <c r="F361" s="132" t="s">
        <v>27</v>
      </c>
      <c r="G361" s="122" t="s">
        <v>224</v>
      </c>
      <c r="H361" s="133" t="s">
        <v>27</v>
      </c>
      <c r="I361" s="126">
        <v>5</v>
      </c>
      <c r="J361" s="126">
        <v>1</v>
      </c>
      <c r="K361" s="126">
        <v>3</v>
      </c>
      <c r="L361" s="124">
        <v>1</v>
      </c>
      <c r="M361" s="126">
        <v>1</v>
      </c>
      <c r="N361" s="126">
        <v>1</v>
      </c>
      <c r="O361" s="126">
        <v>3</v>
      </c>
      <c r="P361" s="126"/>
      <c r="Q361" s="126">
        <v>2</v>
      </c>
      <c r="R361" s="126">
        <v>1</v>
      </c>
      <c r="S361" s="126">
        <v>2</v>
      </c>
      <c r="T361" s="124"/>
      <c r="U361" s="126">
        <v>2</v>
      </c>
      <c r="V361" s="126"/>
      <c r="W361" s="126">
        <v>3</v>
      </c>
      <c r="X361" s="126">
        <v>3</v>
      </c>
      <c r="Y361" s="126">
        <v>1</v>
      </c>
      <c r="Z361" s="124">
        <v>1</v>
      </c>
      <c r="AA361" s="126">
        <v>0</v>
      </c>
      <c r="AB361" s="124">
        <v>0</v>
      </c>
      <c r="AC361" s="126">
        <v>0</v>
      </c>
      <c r="AD361" s="124">
        <v>0</v>
      </c>
      <c r="AE361" s="126">
        <v>2</v>
      </c>
      <c r="AF361" s="124">
        <v>0</v>
      </c>
      <c r="AG361" s="126">
        <v>0</v>
      </c>
      <c r="AH361" s="126">
        <v>0</v>
      </c>
      <c r="AI361" s="126"/>
      <c r="AJ361" s="126"/>
      <c r="AK361" s="105">
        <v>161</v>
      </c>
    </row>
    <row r="362" spans="1:37" s="127" customFormat="1" ht="15.75">
      <c r="A362" s="120">
        <v>360</v>
      </c>
      <c r="B362" s="126" t="s">
        <v>453</v>
      </c>
      <c r="C362" s="121" t="s">
        <v>391</v>
      </c>
      <c r="D362" s="122" t="str">
        <f>"9200472"</f>
        <v>9200472</v>
      </c>
      <c r="E362" s="121" t="s">
        <v>467</v>
      </c>
      <c r="F362" s="132" t="s">
        <v>27</v>
      </c>
      <c r="G362" s="122" t="s">
        <v>224</v>
      </c>
      <c r="H362" s="133" t="s">
        <v>27</v>
      </c>
      <c r="I362" s="126">
        <v>2</v>
      </c>
      <c r="J362" s="126">
        <v>1</v>
      </c>
      <c r="K362" s="126">
        <v>3</v>
      </c>
      <c r="L362" s="124">
        <v>1</v>
      </c>
      <c r="M362" s="126">
        <v>0</v>
      </c>
      <c r="N362" s="126"/>
      <c r="O362" s="126">
        <v>0</v>
      </c>
      <c r="P362" s="126"/>
      <c r="Q362" s="126">
        <v>0</v>
      </c>
      <c r="R362" s="126"/>
      <c r="S362" s="126">
        <v>0</v>
      </c>
      <c r="T362" s="124"/>
      <c r="U362" s="126">
        <v>1</v>
      </c>
      <c r="V362" s="126">
        <v>1</v>
      </c>
      <c r="W362" s="126">
        <v>0</v>
      </c>
      <c r="X362" s="126">
        <v>0</v>
      </c>
      <c r="Y362" s="126">
        <v>0</v>
      </c>
      <c r="Z362" s="124">
        <v>0</v>
      </c>
      <c r="AA362" s="126">
        <v>0</v>
      </c>
      <c r="AB362" s="124">
        <v>0</v>
      </c>
      <c r="AC362" s="126">
        <v>0</v>
      </c>
      <c r="AD362" s="124">
        <v>0</v>
      </c>
      <c r="AE362" s="126">
        <v>7</v>
      </c>
      <c r="AF362" s="124">
        <v>0</v>
      </c>
      <c r="AG362" s="126">
        <v>0</v>
      </c>
      <c r="AH362" s="126">
        <v>0</v>
      </c>
      <c r="AI362" s="126"/>
      <c r="AJ362" s="126"/>
      <c r="AK362" s="105">
        <v>123</v>
      </c>
    </row>
    <row r="363" spans="1:37" s="127" customFormat="1" ht="15.75">
      <c r="A363" s="120">
        <v>361</v>
      </c>
      <c r="B363" s="126" t="s">
        <v>453</v>
      </c>
      <c r="C363" s="121" t="s">
        <v>380</v>
      </c>
      <c r="D363" s="122" t="str">
        <f>"9200501"</f>
        <v>9200501</v>
      </c>
      <c r="E363" s="121" t="s">
        <v>467</v>
      </c>
      <c r="F363" s="132" t="s">
        <v>27</v>
      </c>
      <c r="G363" s="122" t="s">
        <v>224</v>
      </c>
      <c r="H363" s="133" t="s">
        <v>27</v>
      </c>
      <c r="I363" s="126">
        <v>13</v>
      </c>
      <c r="J363" s="126">
        <v>2</v>
      </c>
      <c r="K363" s="126">
        <v>7</v>
      </c>
      <c r="L363" s="124">
        <v>2</v>
      </c>
      <c r="M363" s="126">
        <v>0</v>
      </c>
      <c r="N363" s="126"/>
      <c r="O363" s="126">
        <v>0</v>
      </c>
      <c r="P363" s="126"/>
      <c r="Q363" s="126">
        <v>0</v>
      </c>
      <c r="R363" s="126"/>
      <c r="S363" s="126">
        <v>0</v>
      </c>
      <c r="T363" s="124"/>
      <c r="U363" s="126">
        <v>1</v>
      </c>
      <c r="V363" s="126">
        <v>1</v>
      </c>
      <c r="W363" s="126">
        <v>3</v>
      </c>
      <c r="X363" s="126">
        <v>3</v>
      </c>
      <c r="Y363" s="126">
        <v>0</v>
      </c>
      <c r="Z363" s="124">
        <v>0</v>
      </c>
      <c r="AA363" s="126">
        <v>0</v>
      </c>
      <c r="AB363" s="124">
        <v>0</v>
      </c>
      <c r="AC363" s="126">
        <v>0</v>
      </c>
      <c r="AD363" s="124">
        <v>0</v>
      </c>
      <c r="AE363" s="126">
        <v>0</v>
      </c>
      <c r="AF363" s="124">
        <v>0</v>
      </c>
      <c r="AG363" s="126">
        <v>0</v>
      </c>
      <c r="AH363" s="126">
        <v>0</v>
      </c>
      <c r="AI363" s="126"/>
      <c r="AJ363" s="126"/>
      <c r="AK363" s="105">
        <v>126</v>
      </c>
    </row>
    <row r="364" spans="1:37" s="127" customFormat="1" ht="15.75">
      <c r="A364" s="120">
        <v>362</v>
      </c>
      <c r="B364" s="126" t="s">
        <v>453</v>
      </c>
      <c r="C364" s="121" t="s">
        <v>383</v>
      </c>
      <c r="D364" s="122" t="str">
        <f>"9200503"</f>
        <v>9200503</v>
      </c>
      <c r="E364" s="121" t="s">
        <v>467</v>
      </c>
      <c r="F364" s="132" t="s">
        <v>27</v>
      </c>
      <c r="G364" s="122" t="s">
        <v>224</v>
      </c>
      <c r="H364" s="133" t="s">
        <v>27</v>
      </c>
      <c r="I364" s="126"/>
      <c r="J364" s="126"/>
      <c r="K364" s="126">
        <v>1</v>
      </c>
      <c r="L364" s="124">
        <v>1</v>
      </c>
      <c r="M364" s="126">
        <v>1</v>
      </c>
      <c r="N364" s="126">
        <v>1</v>
      </c>
      <c r="O364" s="126">
        <v>3</v>
      </c>
      <c r="P364" s="126"/>
      <c r="Q364" s="126">
        <v>0</v>
      </c>
      <c r="R364" s="126"/>
      <c r="S364" s="126">
        <v>1</v>
      </c>
      <c r="T364" s="124"/>
      <c r="U364" s="126">
        <v>0</v>
      </c>
      <c r="V364" s="126"/>
      <c r="W364" s="126">
        <v>2</v>
      </c>
      <c r="X364" s="126">
        <v>2</v>
      </c>
      <c r="Y364" s="126">
        <v>0</v>
      </c>
      <c r="Z364" s="124">
        <v>0</v>
      </c>
      <c r="AA364" s="126">
        <v>0</v>
      </c>
      <c r="AB364" s="124">
        <v>0</v>
      </c>
      <c r="AC364" s="126">
        <v>0</v>
      </c>
      <c r="AD364" s="124">
        <v>0</v>
      </c>
      <c r="AE364" s="126">
        <v>0</v>
      </c>
      <c r="AF364" s="124">
        <v>0</v>
      </c>
      <c r="AG364" s="126">
        <v>0</v>
      </c>
      <c r="AH364" s="126">
        <v>0</v>
      </c>
      <c r="AI364" s="126" t="s">
        <v>841</v>
      </c>
      <c r="AJ364" s="126" t="s">
        <v>841</v>
      </c>
      <c r="AK364" s="105">
        <v>19</v>
      </c>
    </row>
    <row r="365" spans="1:37" s="127" customFormat="1" ht="15.75">
      <c r="A365" s="120">
        <v>363</v>
      </c>
      <c r="B365" s="126" t="s">
        <v>453</v>
      </c>
      <c r="C365" s="121" t="s">
        <v>385</v>
      </c>
      <c r="D365" s="122" t="str">
        <f>"9200506"</f>
        <v>9200506</v>
      </c>
      <c r="E365" s="121" t="s">
        <v>467</v>
      </c>
      <c r="F365" s="132" t="s">
        <v>27</v>
      </c>
      <c r="G365" s="122" t="s">
        <v>224</v>
      </c>
      <c r="H365" s="133" t="s">
        <v>27</v>
      </c>
      <c r="I365" s="126"/>
      <c r="J365" s="126">
        <v>1</v>
      </c>
      <c r="K365" s="126">
        <v>1</v>
      </c>
      <c r="L365" s="124">
        <v>1</v>
      </c>
      <c r="M365" s="126">
        <v>0</v>
      </c>
      <c r="N365" s="126"/>
      <c r="O365" s="126">
        <v>0</v>
      </c>
      <c r="P365" s="126"/>
      <c r="Q365" s="126">
        <v>0</v>
      </c>
      <c r="R365" s="126"/>
      <c r="S365" s="126">
        <v>1</v>
      </c>
      <c r="T365" s="124"/>
      <c r="U365" s="126">
        <v>1</v>
      </c>
      <c r="V365" s="126"/>
      <c r="W365" s="126">
        <v>0</v>
      </c>
      <c r="X365" s="126">
        <v>0</v>
      </c>
      <c r="Y365" s="126">
        <v>0</v>
      </c>
      <c r="Z365" s="124">
        <v>0</v>
      </c>
      <c r="AA365" s="126">
        <v>0</v>
      </c>
      <c r="AB365" s="124">
        <v>0</v>
      </c>
      <c r="AC365" s="126">
        <v>0</v>
      </c>
      <c r="AD365" s="124">
        <v>0</v>
      </c>
      <c r="AE365" s="126">
        <v>0</v>
      </c>
      <c r="AF365" s="124">
        <v>0</v>
      </c>
      <c r="AG365" s="126">
        <v>0</v>
      </c>
      <c r="AH365" s="126">
        <v>0</v>
      </c>
      <c r="AI365" s="126" t="s">
        <v>841</v>
      </c>
      <c r="AJ365" s="126" t="s">
        <v>841</v>
      </c>
      <c r="AK365" s="105">
        <v>208</v>
      </c>
    </row>
    <row r="366" spans="1:37" s="127" customFormat="1" ht="15.75">
      <c r="A366" s="120">
        <v>364</v>
      </c>
      <c r="B366" s="126" t="s">
        <v>453</v>
      </c>
      <c r="C366" s="121" t="s">
        <v>389</v>
      </c>
      <c r="D366" s="122" t="str">
        <f>"9200507"</f>
        <v>9200507</v>
      </c>
      <c r="E366" s="121" t="s">
        <v>467</v>
      </c>
      <c r="F366" s="132" t="s">
        <v>27</v>
      </c>
      <c r="G366" s="122" t="s">
        <v>224</v>
      </c>
      <c r="H366" s="133" t="s">
        <v>27</v>
      </c>
      <c r="I366" s="126">
        <v>10</v>
      </c>
      <c r="J366" s="126">
        <v>3</v>
      </c>
      <c r="K366" s="126">
        <v>5</v>
      </c>
      <c r="L366" s="124">
        <v>1</v>
      </c>
      <c r="M366" s="126">
        <v>5</v>
      </c>
      <c r="N366" s="126">
        <v>1</v>
      </c>
      <c r="O366" s="126">
        <v>5</v>
      </c>
      <c r="P366" s="126"/>
      <c r="Q366" s="126">
        <v>2</v>
      </c>
      <c r="R366" s="126">
        <v>1</v>
      </c>
      <c r="S366" s="126">
        <v>1</v>
      </c>
      <c r="T366" s="124"/>
      <c r="U366" s="126">
        <v>2</v>
      </c>
      <c r="V366" s="126"/>
      <c r="W366" s="126">
        <v>2</v>
      </c>
      <c r="X366" s="126">
        <v>2</v>
      </c>
      <c r="Y366" s="126">
        <v>1</v>
      </c>
      <c r="Z366" s="124">
        <v>1</v>
      </c>
      <c r="AA366" s="126">
        <v>0</v>
      </c>
      <c r="AB366" s="124">
        <v>0</v>
      </c>
      <c r="AC366" s="126">
        <v>0</v>
      </c>
      <c r="AD366" s="124">
        <v>0</v>
      </c>
      <c r="AE366" s="126">
        <v>7</v>
      </c>
      <c r="AF366" s="124">
        <v>0</v>
      </c>
      <c r="AG366" s="126">
        <v>0</v>
      </c>
      <c r="AH366" s="126">
        <v>0</v>
      </c>
      <c r="AI366" s="126"/>
      <c r="AJ366" s="126"/>
      <c r="AK366" s="105">
        <v>329</v>
      </c>
    </row>
    <row r="367" spans="1:37" s="127" customFormat="1" ht="15.75">
      <c r="A367" s="120">
        <v>365</v>
      </c>
      <c r="B367" s="126" t="s">
        <v>453</v>
      </c>
      <c r="C367" s="121" t="s">
        <v>398</v>
      </c>
      <c r="D367" s="122" t="str">
        <f>"9200530"</f>
        <v>9200530</v>
      </c>
      <c r="E367" s="121" t="s">
        <v>467</v>
      </c>
      <c r="F367" s="132" t="s">
        <v>27</v>
      </c>
      <c r="G367" s="122" t="s">
        <v>224</v>
      </c>
      <c r="H367" s="133" t="s">
        <v>27</v>
      </c>
      <c r="I367" s="126">
        <v>12</v>
      </c>
      <c r="J367" s="126">
        <v>2</v>
      </c>
      <c r="K367" s="126">
        <v>3</v>
      </c>
      <c r="L367" s="124">
        <v>1</v>
      </c>
      <c r="M367" s="126">
        <v>3</v>
      </c>
      <c r="N367" s="126">
        <v>1</v>
      </c>
      <c r="O367" s="126">
        <v>2</v>
      </c>
      <c r="P367" s="126"/>
      <c r="Q367" s="126">
        <v>1</v>
      </c>
      <c r="R367" s="126">
        <v>1</v>
      </c>
      <c r="S367" s="126">
        <v>1</v>
      </c>
      <c r="T367" s="124"/>
      <c r="U367" s="126">
        <v>2</v>
      </c>
      <c r="V367" s="126"/>
      <c r="W367" s="126">
        <v>1</v>
      </c>
      <c r="X367" s="126">
        <v>1</v>
      </c>
      <c r="Y367" s="126">
        <v>1</v>
      </c>
      <c r="Z367" s="124">
        <v>1</v>
      </c>
      <c r="AA367" s="126">
        <v>1</v>
      </c>
      <c r="AB367" s="124">
        <v>1</v>
      </c>
      <c r="AC367" s="126">
        <v>0</v>
      </c>
      <c r="AD367" s="124">
        <v>0</v>
      </c>
      <c r="AE367" s="126">
        <v>3</v>
      </c>
      <c r="AF367" s="124">
        <v>0</v>
      </c>
      <c r="AG367" s="126">
        <v>0</v>
      </c>
      <c r="AH367" s="126">
        <v>0</v>
      </c>
      <c r="AI367" s="126"/>
      <c r="AJ367" s="126"/>
      <c r="AK367" s="105"/>
    </row>
    <row r="368" spans="1:37" s="127" customFormat="1" ht="15.75">
      <c r="A368" s="120">
        <v>366</v>
      </c>
      <c r="B368" s="126" t="s">
        <v>453</v>
      </c>
      <c r="C368" s="121" t="s">
        <v>401</v>
      </c>
      <c r="D368" s="122" t="str">
        <f>"9200542"</f>
        <v>9200542</v>
      </c>
      <c r="E368" s="121" t="s">
        <v>467</v>
      </c>
      <c r="F368" s="132" t="s">
        <v>27</v>
      </c>
      <c r="G368" s="122" t="s">
        <v>224</v>
      </c>
      <c r="H368" s="133" t="s">
        <v>27</v>
      </c>
      <c r="I368" s="126">
        <v>0</v>
      </c>
      <c r="J368" s="126">
        <v>0</v>
      </c>
      <c r="K368" s="126">
        <v>0</v>
      </c>
      <c r="L368" s="124"/>
      <c r="M368" s="126">
        <v>0</v>
      </c>
      <c r="N368" s="126"/>
      <c r="O368" s="126">
        <v>0</v>
      </c>
      <c r="P368" s="126"/>
      <c r="Q368" s="126">
        <v>0</v>
      </c>
      <c r="R368" s="126"/>
      <c r="S368" s="126">
        <v>0</v>
      </c>
      <c r="T368" s="124"/>
      <c r="U368" s="126">
        <v>0</v>
      </c>
      <c r="V368" s="126"/>
      <c r="W368" s="126">
        <v>0</v>
      </c>
      <c r="X368" s="126">
        <v>0</v>
      </c>
      <c r="Y368" s="126">
        <v>0</v>
      </c>
      <c r="Z368" s="124">
        <v>0</v>
      </c>
      <c r="AA368" s="126">
        <v>0</v>
      </c>
      <c r="AB368" s="124">
        <v>0</v>
      </c>
      <c r="AC368" s="126">
        <v>0</v>
      </c>
      <c r="AD368" s="124">
        <v>0</v>
      </c>
      <c r="AE368" s="126">
        <v>5</v>
      </c>
      <c r="AF368" s="124">
        <v>0</v>
      </c>
      <c r="AG368" s="126">
        <v>0</v>
      </c>
      <c r="AH368" s="126">
        <v>0</v>
      </c>
      <c r="AI368" s="126"/>
      <c r="AJ368" s="126"/>
      <c r="AK368" s="105">
        <v>42</v>
      </c>
    </row>
    <row r="369" spans="1:37" s="127" customFormat="1" ht="15.75">
      <c r="A369" s="120">
        <v>367</v>
      </c>
      <c r="B369" s="126" t="s">
        <v>453</v>
      </c>
      <c r="C369" s="121" t="s">
        <v>393</v>
      </c>
      <c r="D369" s="122" t="str">
        <f>"9200543"</f>
        <v>9200543</v>
      </c>
      <c r="E369" s="121" t="s">
        <v>467</v>
      </c>
      <c r="F369" s="132" t="s">
        <v>27</v>
      </c>
      <c r="G369" s="122" t="s">
        <v>224</v>
      </c>
      <c r="H369" s="133" t="s">
        <v>27</v>
      </c>
      <c r="I369" s="126">
        <v>5</v>
      </c>
      <c r="J369" s="126">
        <v>1</v>
      </c>
      <c r="K369" s="126">
        <v>4</v>
      </c>
      <c r="L369" s="124">
        <v>1</v>
      </c>
      <c r="M369" s="126">
        <v>2</v>
      </c>
      <c r="N369" s="126">
        <v>1</v>
      </c>
      <c r="O369" s="126">
        <v>4</v>
      </c>
      <c r="P369" s="126"/>
      <c r="Q369" s="126">
        <v>1</v>
      </c>
      <c r="R369" s="126">
        <v>1</v>
      </c>
      <c r="S369" s="126">
        <v>1</v>
      </c>
      <c r="T369" s="124"/>
      <c r="U369" s="126">
        <v>1</v>
      </c>
      <c r="V369" s="126"/>
      <c r="W369" s="126">
        <v>2</v>
      </c>
      <c r="X369" s="126">
        <v>2</v>
      </c>
      <c r="Y369" s="126">
        <v>1</v>
      </c>
      <c r="Z369" s="124">
        <v>1</v>
      </c>
      <c r="AA369" s="126" t="s">
        <v>877</v>
      </c>
      <c r="AB369" s="124">
        <v>0</v>
      </c>
      <c r="AC369" s="126" t="s">
        <v>877</v>
      </c>
      <c r="AD369" s="124">
        <v>1</v>
      </c>
      <c r="AE369" s="126">
        <v>8</v>
      </c>
      <c r="AF369" s="124">
        <v>0</v>
      </c>
      <c r="AG369" s="126">
        <v>0</v>
      </c>
      <c r="AH369" s="126">
        <v>0</v>
      </c>
      <c r="AI369" s="126"/>
      <c r="AJ369" s="126"/>
      <c r="AK369" s="105">
        <v>146</v>
      </c>
    </row>
    <row r="370" spans="1:37" s="127" customFormat="1" ht="15.75">
      <c r="A370" s="120">
        <v>368</v>
      </c>
      <c r="B370" s="126" t="s">
        <v>453</v>
      </c>
      <c r="C370" s="121" t="s">
        <v>406</v>
      </c>
      <c r="D370" s="122" t="str">
        <f>"9200546"</f>
        <v>9200546</v>
      </c>
      <c r="E370" s="121" t="s">
        <v>467</v>
      </c>
      <c r="F370" s="132" t="s">
        <v>27</v>
      </c>
      <c r="G370" s="122" t="s">
        <v>224</v>
      </c>
      <c r="H370" s="133" t="s">
        <v>222</v>
      </c>
      <c r="I370" s="126">
        <v>7</v>
      </c>
      <c r="J370" s="126">
        <v>2</v>
      </c>
      <c r="K370" s="126">
        <v>0</v>
      </c>
      <c r="L370" s="124"/>
      <c r="M370" s="126">
        <v>1</v>
      </c>
      <c r="N370" s="126">
        <v>1</v>
      </c>
      <c r="O370" s="126">
        <v>0</v>
      </c>
      <c r="P370" s="126"/>
      <c r="Q370" s="126">
        <v>0</v>
      </c>
      <c r="R370" s="126"/>
      <c r="S370" s="126">
        <v>1</v>
      </c>
      <c r="T370" s="124"/>
      <c r="U370" s="126">
        <v>0</v>
      </c>
      <c r="V370" s="126"/>
      <c r="W370" s="126">
        <v>0</v>
      </c>
      <c r="X370" s="126">
        <v>0</v>
      </c>
      <c r="Y370" s="126">
        <v>1</v>
      </c>
      <c r="Z370" s="124">
        <v>1</v>
      </c>
      <c r="AA370" s="126">
        <v>0</v>
      </c>
      <c r="AB370" s="124">
        <v>0</v>
      </c>
      <c r="AC370" s="126">
        <v>0</v>
      </c>
      <c r="AD370" s="124">
        <v>0</v>
      </c>
      <c r="AE370" s="126">
        <v>3</v>
      </c>
      <c r="AF370" s="124">
        <v>0</v>
      </c>
      <c r="AG370" s="126">
        <v>0</v>
      </c>
      <c r="AH370" s="126">
        <v>0</v>
      </c>
      <c r="AI370" s="126"/>
      <c r="AJ370" s="126"/>
      <c r="AK370" s="105">
        <v>256</v>
      </c>
    </row>
    <row r="371" spans="1:37" s="127" customFormat="1" ht="15.75">
      <c r="A371" s="120">
        <v>369</v>
      </c>
      <c r="B371" s="126" t="s">
        <v>453</v>
      </c>
      <c r="C371" s="121" t="s">
        <v>455</v>
      </c>
      <c r="D371" s="122" t="str">
        <f>"9200551"</f>
        <v>9200551</v>
      </c>
      <c r="E371" s="121" t="s">
        <v>467</v>
      </c>
      <c r="F371" s="132" t="s">
        <v>27</v>
      </c>
      <c r="G371" s="122" t="s">
        <v>224</v>
      </c>
      <c r="H371" s="133" t="s">
        <v>222</v>
      </c>
      <c r="I371" s="126">
        <v>5</v>
      </c>
      <c r="J371" s="126">
        <v>1</v>
      </c>
      <c r="K371" s="126">
        <v>5</v>
      </c>
      <c r="L371" s="124">
        <v>1</v>
      </c>
      <c r="M371" s="126">
        <v>3</v>
      </c>
      <c r="N371" s="126">
        <v>1</v>
      </c>
      <c r="O371" s="126">
        <v>0</v>
      </c>
      <c r="P371" s="126"/>
      <c r="Q371" s="126">
        <v>8</v>
      </c>
      <c r="R371" s="126">
        <v>1</v>
      </c>
      <c r="S371" s="126">
        <v>1</v>
      </c>
      <c r="T371" s="124"/>
      <c r="U371" s="126">
        <v>2</v>
      </c>
      <c r="V371" s="126"/>
      <c r="W371" s="126">
        <v>2</v>
      </c>
      <c r="X371" s="126">
        <v>2</v>
      </c>
      <c r="Y371" s="126">
        <v>1</v>
      </c>
      <c r="Z371" s="124">
        <v>1</v>
      </c>
      <c r="AA371" s="126">
        <v>1</v>
      </c>
      <c r="AB371" s="124">
        <v>1</v>
      </c>
      <c r="AC371" s="126">
        <v>1</v>
      </c>
      <c r="AD371" s="124">
        <v>1</v>
      </c>
      <c r="AE371" s="126">
        <v>8</v>
      </c>
      <c r="AF371" s="124">
        <v>0</v>
      </c>
      <c r="AG371" s="126">
        <v>0</v>
      </c>
      <c r="AH371" s="126">
        <v>0</v>
      </c>
      <c r="AI371" s="126"/>
      <c r="AJ371" s="126"/>
      <c r="AK371" s="105">
        <v>143</v>
      </c>
    </row>
    <row r="372" spans="1:37" s="127" customFormat="1" ht="15.75">
      <c r="A372" s="120">
        <v>370</v>
      </c>
      <c r="B372" s="126" t="s">
        <v>453</v>
      </c>
      <c r="C372" s="121" t="s">
        <v>464</v>
      </c>
      <c r="D372" s="122" t="str">
        <f>"9200567"</f>
        <v>9200567</v>
      </c>
      <c r="E372" s="121" t="s">
        <v>467</v>
      </c>
      <c r="F372" s="132" t="s">
        <v>27</v>
      </c>
      <c r="G372" s="122" t="s">
        <v>224</v>
      </c>
      <c r="H372" s="133" t="s">
        <v>27</v>
      </c>
      <c r="I372" s="126"/>
      <c r="J372" s="126"/>
      <c r="K372" s="126"/>
      <c r="L372" s="124"/>
      <c r="M372" s="126"/>
      <c r="N372" s="126"/>
      <c r="O372" s="126"/>
      <c r="P372" s="126"/>
      <c r="Q372" s="126"/>
      <c r="R372" s="126"/>
      <c r="S372" s="126"/>
      <c r="T372" s="124"/>
      <c r="U372" s="126"/>
      <c r="V372" s="126"/>
      <c r="W372" s="126"/>
      <c r="X372" s="126"/>
      <c r="Y372" s="126"/>
      <c r="Z372" s="124">
        <v>0</v>
      </c>
      <c r="AA372" s="126"/>
      <c r="AB372" s="124">
        <v>0</v>
      </c>
      <c r="AC372" s="126"/>
      <c r="AD372" s="124">
        <v>0</v>
      </c>
      <c r="AE372" s="126"/>
      <c r="AF372" s="124">
        <v>0</v>
      </c>
      <c r="AG372" s="126"/>
      <c r="AH372" s="126"/>
      <c r="AI372" s="126"/>
      <c r="AJ372" s="126"/>
      <c r="AK372" s="105">
        <v>19</v>
      </c>
    </row>
    <row r="373" spans="1:37" s="127" customFormat="1" ht="15.75">
      <c r="A373" s="120">
        <v>371</v>
      </c>
      <c r="B373" s="126" t="s">
        <v>453</v>
      </c>
      <c r="C373" s="121" t="s">
        <v>397</v>
      </c>
      <c r="D373" s="122" t="str">
        <f>"9200574"</f>
        <v>9200574</v>
      </c>
      <c r="E373" s="121" t="s">
        <v>467</v>
      </c>
      <c r="F373" s="132" t="s">
        <v>27</v>
      </c>
      <c r="G373" s="122" t="s">
        <v>224</v>
      </c>
      <c r="H373" s="133" t="s">
        <v>27</v>
      </c>
      <c r="I373" s="126">
        <v>10</v>
      </c>
      <c r="J373" s="126">
        <v>2</v>
      </c>
      <c r="K373" s="126">
        <v>5</v>
      </c>
      <c r="L373" s="124">
        <v>1</v>
      </c>
      <c r="M373" s="126">
        <v>3</v>
      </c>
      <c r="N373" s="126">
        <v>1</v>
      </c>
      <c r="O373" s="126">
        <v>3</v>
      </c>
      <c r="P373" s="126"/>
      <c r="Q373" s="126">
        <v>2</v>
      </c>
      <c r="R373" s="126">
        <v>1</v>
      </c>
      <c r="S373" s="126">
        <v>1</v>
      </c>
      <c r="T373" s="124"/>
      <c r="U373" s="126">
        <v>2</v>
      </c>
      <c r="V373" s="126"/>
      <c r="W373" s="126">
        <v>1</v>
      </c>
      <c r="X373" s="126">
        <v>1</v>
      </c>
      <c r="Y373" s="126">
        <v>1</v>
      </c>
      <c r="Z373" s="124">
        <v>1</v>
      </c>
      <c r="AA373" s="126">
        <v>0</v>
      </c>
      <c r="AB373" s="124">
        <v>0</v>
      </c>
      <c r="AC373" s="126" t="s">
        <v>879</v>
      </c>
      <c r="AD373" s="124">
        <v>0</v>
      </c>
      <c r="AE373" s="126">
        <v>2</v>
      </c>
      <c r="AF373" s="124">
        <v>0</v>
      </c>
      <c r="AG373" s="126">
        <v>0</v>
      </c>
      <c r="AH373" s="126">
        <v>0</v>
      </c>
      <c r="AI373" s="126"/>
      <c r="AJ373" s="126"/>
      <c r="AK373" s="105">
        <v>230</v>
      </c>
    </row>
    <row r="374" spans="1:37" s="127" customFormat="1" ht="15.75">
      <c r="A374" s="120">
        <v>372</v>
      </c>
      <c r="B374" s="126" t="s">
        <v>453</v>
      </c>
      <c r="C374" s="121" t="s">
        <v>392</v>
      </c>
      <c r="D374" s="122" t="str">
        <f>"9200578"</f>
        <v>9200578</v>
      </c>
      <c r="E374" s="121" t="s">
        <v>467</v>
      </c>
      <c r="F374" s="132" t="s">
        <v>27</v>
      </c>
      <c r="G374" s="122" t="s">
        <v>224</v>
      </c>
      <c r="H374" s="133" t="s">
        <v>27</v>
      </c>
      <c r="I374" s="126"/>
      <c r="J374" s="126">
        <v>2</v>
      </c>
      <c r="K374" s="126">
        <v>1</v>
      </c>
      <c r="L374" s="124">
        <v>1</v>
      </c>
      <c r="M374" s="126">
        <v>2</v>
      </c>
      <c r="N374" s="126">
        <v>1</v>
      </c>
      <c r="O374" s="126">
        <v>1</v>
      </c>
      <c r="P374" s="126"/>
      <c r="Q374" s="126">
        <v>2</v>
      </c>
      <c r="R374" s="126">
        <v>1</v>
      </c>
      <c r="S374" s="126">
        <v>0</v>
      </c>
      <c r="T374" s="124"/>
      <c r="U374" s="126">
        <v>2</v>
      </c>
      <c r="V374" s="126"/>
      <c r="W374" s="126">
        <v>2</v>
      </c>
      <c r="X374" s="126">
        <v>2</v>
      </c>
      <c r="Y374" s="126">
        <v>0</v>
      </c>
      <c r="Z374" s="124">
        <v>0</v>
      </c>
      <c r="AA374" s="126">
        <v>1</v>
      </c>
      <c r="AB374" s="124">
        <v>1</v>
      </c>
      <c r="AC374" s="126">
        <v>0</v>
      </c>
      <c r="AD374" s="124">
        <v>0</v>
      </c>
      <c r="AE374" s="126">
        <v>2</v>
      </c>
      <c r="AF374" s="124">
        <v>0</v>
      </c>
      <c r="AG374" s="126">
        <v>0</v>
      </c>
      <c r="AH374" s="126">
        <v>0</v>
      </c>
      <c r="AI374" s="126" t="s">
        <v>841</v>
      </c>
      <c r="AJ374" s="126" t="s">
        <v>841</v>
      </c>
      <c r="AK374" s="105">
        <v>260</v>
      </c>
    </row>
    <row r="375" spans="1:37" s="127" customFormat="1" ht="15.75">
      <c r="A375" s="120">
        <v>373</v>
      </c>
      <c r="B375" s="126" t="s">
        <v>453</v>
      </c>
      <c r="C375" s="121" t="s">
        <v>395</v>
      </c>
      <c r="D375" s="122" t="str">
        <f>"9200584"</f>
        <v>9200584</v>
      </c>
      <c r="E375" s="121" t="s">
        <v>467</v>
      </c>
      <c r="F375" s="132" t="s">
        <v>27</v>
      </c>
      <c r="G375" s="122" t="s">
        <v>224</v>
      </c>
      <c r="H375" s="133" t="s">
        <v>27</v>
      </c>
      <c r="I375" s="126"/>
      <c r="J375" s="126"/>
      <c r="K375" s="126">
        <v>1</v>
      </c>
      <c r="L375" s="124">
        <v>1</v>
      </c>
      <c r="M375" s="126">
        <v>1</v>
      </c>
      <c r="N375" s="126">
        <v>1</v>
      </c>
      <c r="O375" s="126">
        <v>4</v>
      </c>
      <c r="P375" s="126"/>
      <c r="Q375" s="126">
        <v>1</v>
      </c>
      <c r="R375" s="126">
        <v>1</v>
      </c>
      <c r="S375" s="126">
        <v>0</v>
      </c>
      <c r="T375" s="124"/>
      <c r="U375" s="126">
        <v>0</v>
      </c>
      <c r="V375" s="126"/>
      <c r="W375" s="126">
        <v>2</v>
      </c>
      <c r="X375" s="126">
        <v>2</v>
      </c>
      <c r="Y375" s="126">
        <v>0</v>
      </c>
      <c r="Z375" s="124">
        <v>0</v>
      </c>
      <c r="AA375" s="126">
        <v>0</v>
      </c>
      <c r="AB375" s="124">
        <v>0</v>
      </c>
      <c r="AC375" s="126">
        <v>0</v>
      </c>
      <c r="AD375" s="124">
        <v>0</v>
      </c>
      <c r="AE375" s="126">
        <v>0</v>
      </c>
      <c r="AF375" s="124">
        <v>0</v>
      </c>
      <c r="AG375" s="126">
        <v>0</v>
      </c>
      <c r="AH375" s="126">
        <v>0</v>
      </c>
      <c r="AI375" s="126" t="s">
        <v>841</v>
      </c>
      <c r="AJ375" s="126" t="s">
        <v>841</v>
      </c>
      <c r="AK375" s="105">
        <v>143</v>
      </c>
    </row>
    <row r="376" spans="1:37" s="127" customFormat="1" ht="15.75">
      <c r="A376" s="120">
        <v>374</v>
      </c>
      <c r="B376" s="126" t="s">
        <v>453</v>
      </c>
      <c r="C376" s="121" t="s">
        <v>399</v>
      </c>
      <c r="D376" s="122" t="str">
        <f>"9521115"</f>
        <v>9521115</v>
      </c>
      <c r="E376" s="121" t="s">
        <v>467</v>
      </c>
      <c r="F376" s="132" t="s">
        <v>27</v>
      </c>
      <c r="G376" s="122" t="s">
        <v>224</v>
      </c>
      <c r="H376" s="133" t="s">
        <v>27</v>
      </c>
      <c r="I376" s="126">
        <v>10</v>
      </c>
      <c r="J376" s="126">
        <v>2</v>
      </c>
      <c r="K376" s="126">
        <v>12</v>
      </c>
      <c r="L376" s="124">
        <v>2</v>
      </c>
      <c r="M376" s="126">
        <v>1</v>
      </c>
      <c r="N376" s="126">
        <v>1</v>
      </c>
      <c r="O376" s="126">
        <v>5</v>
      </c>
      <c r="P376" s="126"/>
      <c r="Q376" s="126">
        <v>1</v>
      </c>
      <c r="R376" s="126">
        <v>1</v>
      </c>
      <c r="S376" s="126">
        <v>1</v>
      </c>
      <c r="T376" s="124"/>
      <c r="U376" s="126">
        <v>1</v>
      </c>
      <c r="V376" s="126"/>
      <c r="W376" s="126">
        <v>0</v>
      </c>
      <c r="X376" s="126">
        <v>0</v>
      </c>
      <c r="Y376" s="126">
        <v>1</v>
      </c>
      <c r="Z376" s="124">
        <v>1</v>
      </c>
      <c r="AA376" s="126">
        <v>0</v>
      </c>
      <c r="AB376" s="124">
        <v>0</v>
      </c>
      <c r="AC376" s="126">
        <v>0</v>
      </c>
      <c r="AD376" s="124">
        <v>0</v>
      </c>
      <c r="AE376" s="126">
        <v>4</v>
      </c>
      <c r="AF376" s="124">
        <v>0</v>
      </c>
      <c r="AG376" s="126">
        <v>0</v>
      </c>
      <c r="AH376" s="126">
        <v>0</v>
      </c>
      <c r="AI376" s="126"/>
      <c r="AJ376" s="126"/>
      <c r="AK376" s="105">
        <v>78</v>
      </c>
    </row>
    <row r="377" spans="1:37" s="127" customFormat="1" ht="15.75">
      <c r="A377" s="120">
        <v>375</v>
      </c>
      <c r="B377" s="126" t="s">
        <v>453</v>
      </c>
      <c r="C377" s="121" t="s">
        <v>407</v>
      </c>
      <c r="D377" s="122" t="str">
        <f>"9521730"</f>
        <v>9521730</v>
      </c>
      <c r="E377" s="121" t="s">
        <v>467</v>
      </c>
      <c r="F377" s="132" t="s">
        <v>27</v>
      </c>
      <c r="G377" s="122" t="s">
        <v>224</v>
      </c>
      <c r="H377" s="133" t="s">
        <v>222</v>
      </c>
      <c r="I377" s="126">
        <v>2</v>
      </c>
      <c r="J377" s="126">
        <v>3</v>
      </c>
      <c r="K377" s="126">
        <v>1</v>
      </c>
      <c r="L377" s="124">
        <v>1</v>
      </c>
      <c r="M377" s="126">
        <v>1</v>
      </c>
      <c r="N377" s="126">
        <v>1</v>
      </c>
      <c r="O377" s="126">
        <v>1</v>
      </c>
      <c r="P377" s="126"/>
      <c r="Q377" s="126">
        <v>0</v>
      </c>
      <c r="R377" s="126"/>
      <c r="S377" s="126">
        <v>0</v>
      </c>
      <c r="T377" s="124"/>
      <c r="U377" s="126">
        <v>2</v>
      </c>
      <c r="V377" s="126">
        <v>1</v>
      </c>
      <c r="W377" s="126">
        <v>0</v>
      </c>
      <c r="X377" s="126">
        <v>0</v>
      </c>
      <c r="Y377" s="126">
        <v>0</v>
      </c>
      <c r="Z377" s="124">
        <v>0</v>
      </c>
      <c r="AA377" s="126">
        <v>0</v>
      </c>
      <c r="AB377" s="124">
        <v>0</v>
      </c>
      <c r="AC377" s="126">
        <v>0</v>
      </c>
      <c r="AD377" s="124">
        <v>0</v>
      </c>
      <c r="AE377" s="126">
        <v>3</v>
      </c>
      <c r="AF377" s="124">
        <v>0</v>
      </c>
      <c r="AG377" s="126">
        <v>0</v>
      </c>
      <c r="AH377" s="126">
        <v>0</v>
      </c>
      <c r="AI377" s="126"/>
      <c r="AJ377" s="126"/>
      <c r="AK377" s="105">
        <v>305</v>
      </c>
    </row>
    <row r="378" spans="1:37" s="127" customFormat="1" ht="15.75">
      <c r="A378" s="120">
        <v>376</v>
      </c>
      <c r="B378" s="126" t="s">
        <v>453</v>
      </c>
      <c r="C378" s="121" t="s">
        <v>460</v>
      </c>
      <c r="D378" s="121"/>
      <c r="E378" s="121" t="s">
        <v>467</v>
      </c>
      <c r="F378" s="132" t="s">
        <v>27</v>
      </c>
      <c r="G378" s="122" t="s">
        <v>224</v>
      </c>
      <c r="H378" s="133" t="s">
        <v>482</v>
      </c>
      <c r="I378" s="126">
        <v>10</v>
      </c>
      <c r="J378" s="126">
        <v>2</v>
      </c>
      <c r="K378" s="126">
        <v>0</v>
      </c>
      <c r="L378" s="124"/>
      <c r="M378" s="126">
        <v>1</v>
      </c>
      <c r="N378" s="126">
        <v>1</v>
      </c>
      <c r="O378" s="126">
        <v>0</v>
      </c>
      <c r="P378" s="126"/>
      <c r="Q378" s="126">
        <v>1</v>
      </c>
      <c r="R378" s="126">
        <v>1</v>
      </c>
      <c r="S378" s="126">
        <v>1</v>
      </c>
      <c r="T378" s="124"/>
      <c r="U378" s="126">
        <v>0</v>
      </c>
      <c r="V378" s="126"/>
      <c r="W378" s="126">
        <v>5</v>
      </c>
      <c r="X378" s="126">
        <v>5</v>
      </c>
      <c r="Y378" s="126">
        <v>1</v>
      </c>
      <c r="Z378" s="124">
        <v>1</v>
      </c>
      <c r="AA378" s="126">
        <v>0</v>
      </c>
      <c r="AB378" s="124">
        <v>0</v>
      </c>
      <c r="AC378" s="126">
        <v>0</v>
      </c>
      <c r="AD378" s="124">
        <v>0</v>
      </c>
      <c r="AE378" s="126">
        <v>14</v>
      </c>
      <c r="AF378" s="124">
        <v>0</v>
      </c>
      <c r="AG378" s="126">
        <v>0</v>
      </c>
      <c r="AH378" s="126">
        <v>0</v>
      </c>
      <c r="AI378" s="126"/>
      <c r="AJ378" s="126"/>
      <c r="AK378" s="105">
        <v>10</v>
      </c>
    </row>
    <row r="379" spans="1:37" s="127" customFormat="1" ht="15.75">
      <c r="A379" s="120">
        <v>377</v>
      </c>
      <c r="B379" s="126" t="s">
        <v>453</v>
      </c>
      <c r="C379" s="121" t="s">
        <v>454</v>
      </c>
      <c r="D379" s="122"/>
      <c r="E379" s="121" t="s">
        <v>467</v>
      </c>
      <c r="F379" s="132" t="s">
        <v>27</v>
      </c>
      <c r="G379" s="122" t="s">
        <v>224</v>
      </c>
      <c r="H379" s="133" t="s">
        <v>27</v>
      </c>
      <c r="I379" s="126">
        <v>10</v>
      </c>
      <c r="J379" s="126">
        <v>2</v>
      </c>
      <c r="K379" s="126">
        <v>0</v>
      </c>
      <c r="L379" s="124"/>
      <c r="M379" s="126">
        <v>1</v>
      </c>
      <c r="N379" s="126">
        <v>1</v>
      </c>
      <c r="O379" s="126">
        <v>0</v>
      </c>
      <c r="P379" s="126"/>
      <c r="Q379" s="126">
        <v>1</v>
      </c>
      <c r="R379" s="126">
        <v>1</v>
      </c>
      <c r="S379" s="126">
        <v>1</v>
      </c>
      <c r="T379" s="124"/>
      <c r="U379" s="126">
        <v>0</v>
      </c>
      <c r="V379" s="126"/>
      <c r="W379" s="126">
        <v>5</v>
      </c>
      <c r="X379" s="126">
        <v>5</v>
      </c>
      <c r="Y379" s="126">
        <v>1</v>
      </c>
      <c r="Z379" s="124">
        <v>1</v>
      </c>
      <c r="AA379" s="126">
        <v>0</v>
      </c>
      <c r="AB379" s="124">
        <v>0</v>
      </c>
      <c r="AC379" s="126">
        <v>0</v>
      </c>
      <c r="AD379" s="124">
        <v>0</v>
      </c>
      <c r="AE379" s="126">
        <v>14</v>
      </c>
      <c r="AF379" s="124">
        <v>0</v>
      </c>
      <c r="AG379" s="126">
        <v>0</v>
      </c>
      <c r="AH379" s="126">
        <v>0</v>
      </c>
      <c r="AI379" s="126"/>
      <c r="AJ379" s="126"/>
      <c r="AK379" s="105"/>
    </row>
    <row r="380" spans="1:37" s="127" customFormat="1" ht="15.75">
      <c r="A380" s="120">
        <v>378</v>
      </c>
      <c r="B380" s="126" t="s">
        <v>453</v>
      </c>
      <c r="C380" s="121" t="s">
        <v>456</v>
      </c>
      <c r="D380" s="121"/>
      <c r="E380" s="121" t="s">
        <v>467</v>
      </c>
      <c r="F380" s="132" t="s">
        <v>27</v>
      </c>
      <c r="G380" s="122" t="s">
        <v>224</v>
      </c>
      <c r="H380" s="133" t="s">
        <v>499</v>
      </c>
      <c r="I380" s="126">
        <v>10</v>
      </c>
      <c r="J380" s="126">
        <v>2</v>
      </c>
      <c r="K380" s="126">
        <v>0</v>
      </c>
      <c r="L380" s="124"/>
      <c r="M380" s="126">
        <v>1</v>
      </c>
      <c r="N380" s="126">
        <v>1</v>
      </c>
      <c r="O380" s="126">
        <v>0</v>
      </c>
      <c r="P380" s="126"/>
      <c r="Q380" s="126">
        <v>1</v>
      </c>
      <c r="R380" s="126">
        <v>1</v>
      </c>
      <c r="S380" s="126">
        <v>1</v>
      </c>
      <c r="T380" s="124"/>
      <c r="U380" s="126">
        <v>0</v>
      </c>
      <c r="V380" s="126"/>
      <c r="W380" s="126">
        <v>5</v>
      </c>
      <c r="X380" s="126">
        <v>5</v>
      </c>
      <c r="Y380" s="126">
        <v>1</v>
      </c>
      <c r="Z380" s="124">
        <v>0</v>
      </c>
      <c r="AA380" s="126">
        <v>0</v>
      </c>
      <c r="AB380" s="124">
        <v>0</v>
      </c>
      <c r="AC380" s="126">
        <v>0</v>
      </c>
      <c r="AD380" s="124">
        <v>0</v>
      </c>
      <c r="AE380" s="126">
        <v>14</v>
      </c>
      <c r="AF380" s="124">
        <v>0</v>
      </c>
      <c r="AG380" s="126">
        <v>0</v>
      </c>
      <c r="AH380" s="126">
        <v>0</v>
      </c>
      <c r="AI380" s="126"/>
      <c r="AJ380" s="126"/>
      <c r="AK380" s="105">
        <v>16</v>
      </c>
    </row>
    <row r="381" spans="1:37" s="127" customFormat="1" ht="15.75">
      <c r="A381" s="120">
        <v>379</v>
      </c>
      <c r="B381" s="126" t="s">
        <v>453</v>
      </c>
      <c r="C381" s="121" t="s">
        <v>423</v>
      </c>
      <c r="D381" s="122" t="str">
        <f>"9200020"</f>
        <v>9200020</v>
      </c>
      <c r="E381" s="121" t="s">
        <v>467</v>
      </c>
      <c r="F381" s="132" t="s">
        <v>27</v>
      </c>
      <c r="G381" s="122" t="s">
        <v>229</v>
      </c>
      <c r="H381" s="133" t="s">
        <v>342</v>
      </c>
      <c r="I381" s="126"/>
      <c r="J381" s="126"/>
      <c r="K381" s="126"/>
      <c r="L381" s="124"/>
      <c r="M381" s="126"/>
      <c r="N381" s="126"/>
      <c r="O381" s="126"/>
      <c r="P381" s="126"/>
      <c r="Q381" s="126"/>
      <c r="R381" s="126"/>
      <c r="S381" s="126"/>
      <c r="T381" s="124"/>
      <c r="U381" s="126"/>
      <c r="V381" s="126"/>
      <c r="W381" s="126"/>
      <c r="X381" s="126"/>
      <c r="Y381" s="126"/>
      <c r="Z381" s="124">
        <v>0</v>
      </c>
      <c r="AA381" s="126"/>
      <c r="AB381" s="124">
        <v>0</v>
      </c>
      <c r="AC381" s="126"/>
      <c r="AD381" s="124">
        <v>0</v>
      </c>
      <c r="AE381" s="126"/>
      <c r="AF381" s="124">
        <v>0</v>
      </c>
      <c r="AG381" s="126"/>
      <c r="AH381" s="126"/>
      <c r="AI381" s="126"/>
      <c r="AJ381" s="126"/>
      <c r="AK381" s="105">
        <v>1</v>
      </c>
    </row>
    <row r="382" spans="1:37" s="127" customFormat="1" ht="15.75">
      <c r="A382" s="120">
        <v>380</v>
      </c>
      <c r="B382" s="126" t="s">
        <v>453</v>
      </c>
      <c r="C382" s="121" t="s">
        <v>410</v>
      </c>
      <c r="D382" s="122" t="str">
        <f>"9200295"</f>
        <v>9200295</v>
      </c>
      <c r="E382" s="121" t="s">
        <v>467</v>
      </c>
      <c r="F382" s="132" t="s">
        <v>27</v>
      </c>
      <c r="G382" s="122" t="s">
        <v>229</v>
      </c>
      <c r="H382" s="133" t="s">
        <v>229</v>
      </c>
      <c r="I382" s="126"/>
      <c r="J382" s="126"/>
      <c r="K382" s="126">
        <v>1</v>
      </c>
      <c r="L382" s="124">
        <v>1</v>
      </c>
      <c r="M382" s="126">
        <v>10</v>
      </c>
      <c r="N382" s="126">
        <v>1</v>
      </c>
      <c r="O382" s="126">
        <v>1</v>
      </c>
      <c r="P382" s="126"/>
      <c r="Q382" s="126">
        <v>1</v>
      </c>
      <c r="R382" s="126">
        <v>1</v>
      </c>
      <c r="S382" s="126">
        <v>1</v>
      </c>
      <c r="T382" s="124"/>
      <c r="U382" s="126">
        <v>1</v>
      </c>
      <c r="V382" s="126"/>
      <c r="W382" s="126">
        <v>2</v>
      </c>
      <c r="X382" s="126">
        <v>2</v>
      </c>
      <c r="Y382" s="126">
        <v>1</v>
      </c>
      <c r="Z382" s="124">
        <v>0</v>
      </c>
      <c r="AA382" s="126">
        <v>0</v>
      </c>
      <c r="AB382" s="124">
        <v>0</v>
      </c>
      <c r="AC382" s="126">
        <v>0</v>
      </c>
      <c r="AD382" s="124">
        <v>0</v>
      </c>
      <c r="AE382" s="126">
        <v>0</v>
      </c>
      <c r="AF382" s="124">
        <v>0</v>
      </c>
      <c r="AG382" s="126">
        <v>0</v>
      </c>
      <c r="AH382" s="126">
        <v>0</v>
      </c>
      <c r="AI382" s="126" t="s">
        <v>841</v>
      </c>
      <c r="AJ382" s="126" t="s">
        <v>841</v>
      </c>
      <c r="AK382" s="105">
        <v>178</v>
      </c>
    </row>
    <row r="383" spans="1:37" s="127" customFormat="1" ht="15.75">
      <c r="A383" s="120">
        <v>381</v>
      </c>
      <c r="B383" s="126" t="s">
        <v>453</v>
      </c>
      <c r="C383" s="121" t="s">
        <v>411</v>
      </c>
      <c r="D383" s="122" t="str">
        <f>"9200296"</f>
        <v>9200296</v>
      </c>
      <c r="E383" s="121" t="s">
        <v>467</v>
      </c>
      <c r="F383" s="132" t="s">
        <v>27</v>
      </c>
      <c r="G383" s="122" t="s">
        <v>229</v>
      </c>
      <c r="H383" s="133" t="s">
        <v>229</v>
      </c>
      <c r="I383" s="126">
        <v>0</v>
      </c>
      <c r="J383" s="126">
        <v>0</v>
      </c>
      <c r="K383" s="126">
        <v>5</v>
      </c>
      <c r="L383" s="124">
        <v>2</v>
      </c>
      <c r="M383" s="126">
        <v>0</v>
      </c>
      <c r="N383" s="126"/>
      <c r="O383" s="126">
        <v>0</v>
      </c>
      <c r="P383" s="126"/>
      <c r="Q383" s="126">
        <v>1</v>
      </c>
      <c r="R383" s="126">
        <v>1</v>
      </c>
      <c r="S383" s="126">
        <v>0</v>
      </c>
      <c r="T383" s="124"/>
      <c r="U383" s="126">
        <v>1</v>
      </c>
      <c r="V383" s="126"/>
      <c r="W383" s="126">
        <v>0</v>
      </c>
      <c r="X383" s="126">
        <v>0</v>
      </c>
      <c r="Y383" s="126">
        <v>0</v>
      </c>
      <c r="Z383" s="124">
        <v>0</v>
      </c>
      <c r="AA383" s="126">
        <v>0</v>
      </c>
      <c r="AB383" s="124">
        <v>0</v>
      </c>
      <c r="AC383" s="126">
        <v>0</v>
      </c>
      <c r="AD383" s="124">
        <v>0</v>
      </c>
      <c r="AE383" s="126">
        <v>0</v>
      </c>
      <c r="AF383" s="124">
        <v>0</v>
      </c>
      <c r="AG383" s="126">
        <v>0</v>
      </c>
      <c r="AH383" s="126">
        <v>0</v>
      </c>
      <c r="AI383" s="126"/>
      <c r="AJ383" s="126"/>
      <c r="AK383" s="105">
        <v>189</v>
      </c>
    </row>
    <row r="384" spans="1:37" s="127" customFormat="1" ht="15.75">
      <c r="A384" s="120">
        <v>382</v>
      </c>
      <c r="B384" s="126" t="s">
        <v>453</v>
      </c>
      <c r="C384" s="121" t="s">
        <v>412</v>
      </c>
      <c r="D384" s="122" t="str">
        <f>"9200298"</f>
        <v>9200298</v>
      </c>
      <c r="E384" s="121" t="s">
        <v>467</v>
      </c>
      <c r="F384" s="132" t="s">
        <v>27</v>
      </c>
      <c r="G384" s="122" t="s">
        <v>229</v>
      </c>
      <c r="H384" s="133" t="s">
        <v>229</v>
      </c>
      <c r="I384" s="126">
        <v>0</v>
      </c>
      <c r="J384" s="126">
        <v>0</v>
      </c>
      <c r="K384" s="126">
        <v>1</v>
      </c>
      <c r="L384" s="124">
        <v>1</v>
      </c>
      <c r="M384" s="126">
        <v>1</v>
      </c>
      <c r="N384" s="126">
        <v>1</v>
      </c>
      <c r="O384" s="126">
        <v>1</v>
      </c>
      <c r="P384" s="126">
        <v>1</v>
      </c>
      <c r="Q384" s="126">
        <v>1</v>
      </c>
      <c r="R384" s="126">
        <v>1</v>
      </c>
      <c r="S384" s="126">
        <v>0</v>
      </c>
      <c r="T384" s="124"/>
      <c r="U384" s="126">
        <v>2</v>
      </c>
      <c r="V384" s="126"/>
      <c r="W384" s="126">
        <v>1</v>
      </c>
      <c r="X384" s="126">
        <v>1</v>
      </c>
      <c r="Y384" s="126">
        <v>0</v>
      </c>
      <c r="Z384" s="124">
        <v>0</v>
      </c>
      <c r="AA384" s="126">
        <v>0</v>
      </c>
      <c r="AB384" s="124">
        <v>0</v>
      </c>
      <c r="AC384" s="126">
        <v>0</v>
      </c>
      <c r="AD384" s="124">
        <v>0</v>
      </c>
      <c r="AE384" s="126">
        <v>0</v>
      </c>
      <c r="AF384" s="124">
        <v>0</v>
      </c>
      <c r="AG384" s="126">
        <v>0</v>
      </c>
      <c r="AH384" s="126">
        <v>0</v>
      </c>
      <c r="AI384" s="126" t="s">
        <v>841</v>
      </c>
      <c r="AJ384" s="126" t="s">
        <v>841</v>
      </c>
      <c r="AK384" s="105">
        <v>215</v>
      </c>
    </row>
    <row r="385" spans="1:37" s="127" customFormat="1" ht="15.75">
      <c r="A385" s="120">
        <v>383</v>
      </c>
      <c r="B385" s="126" t="s">
        <v>453</v>
      </c>
      <c r="C385" s="121" t="s">
        <v>441</v>
      </c>
      <c r="D385" s="122" t="str">
        <f>"9200062"</f>
        <v>9200062</v>
      </c>
      <c r="E385" s="121" t="s">
        <v>467</v>
      </c>
      <c r="F385" s="132" t="s">
        <v>27</v>
      </c>
      <c r="G385" s="122" t="s">
        <v>227</v>
      </c>
      <c r="H385" s="133" t="s">
        <v>502</v>
      </c>
      <c r="I385" s="126">
        <v>2</v>
      </c>
      <c r="J385" s="126">
        <v>1</v>
      </c>
      <c r="K385" s="126">
        <v>2</v>
      </c>
      <c r="L385" s="124">
        <v>1</v>
      </c>
      <c r="M385" s="126">
        <v>1</v>
      </c>
      <c r="N385" s="126">
        <v>1</v>
      </c>
      <c r="O385" s="126">
        <v>1</v>
      </c>
      <c r="P385" s="126"/>
      <c r="Q385" s="126">
        <v>1</v>
      </c>
      <c r="R385" s="126">
        <v>1</v>
      </c>
      <c r="S385" s="126">
        <v>1</v>
      </c>
      <c r="T385" s="124"/>
      <c r="U385" s="126">
        <v>1</v>
      </c>
      <c r="V385" s="126"/>
      <c r="W385" s="126">
        <v>1</v>
      </c>
      <c r="X385" s="126">
        <v>1</v>
      </c>
      <c r="Y385" s="126">
        <v>1</v>
      </c>
      <c r="Z385" s="124">
        <v>1</v>
      </c>
      <c r="AA385" s="126">
        <v>0</v>
      </c>
      <c r="AB385" s="124">
        <v>0</v>
      </c>
      <c r="AC385" s="126">
        <v>0</v>
      </c>
      <c r="AD385" s="124">
        <v>0</v>
      </c>
      <c r="AE385" s="126">
        <v>0</v>
      </c>
      <c r="AF385" s="124">
        <v>0</v>
      </c>
      <c r="AG385" s="126">
        <v>0</v>
      </c>
      <c r="AH385" s="126">
        <v>0</v>
      </c>
      <c r="AI385" s="126"/>
      <c r="AJ385" s="126"/>
      <c r="AK385" s="105">
        <v>7</v>
      </c>
    </row>
    <row r="386" spans="1:37" s="127" customFormat="1" ht="15.75">
      <c r="A386" s="120">
        <v>384</v>
      </c>
      <c r="B386" s="126" t="s">
        <v>453</v>
      </c>
      <c r="C386" s="121" t="s">
        <v>438</v>
      </c>
      <c r="D386" s="122" t="str">
        <f>"9200081"</f>
        <v>9200081</v>
      </c>
      <c r="E386" s="121" t="s">
        <v>467</v>
      </c>
      <c r="F386" s="132" t="s">
        <v>27</v>
      </c>
      <c r="G386" s="122" t="s">
        <v>227</v>
      </c>
      <c r="H386" s="133" t="s">
        <v>227</v>
      </c>
      <c r="I386" s="126">
        <v>5</v>
      </c>
      <c r="J386" s="126">
        <v>1</v>
      </c>
      <c r="K386" s="126">
        <v>10</v>
      </c>
      <c r="L386" s="124">
        <v>2</v>
      </c>
      <c r="M386" s="126">
        <v>1</v>
      </c>
      <c r="N386" s="126">
        <v>1</v>
      </c>
      <c r="O386" s="126">
        <v>0</v>
      </c>
      <c r="P386" s="126"/>
      <c r="Q386" s="126">
        <v>1</v>
      </c>
      <c r="R386" s="126">
        <v>1</v>
      </c>
      <c r="S386" s="126">
        <v>1</v>
      </c>
      <c r="T386" s="124"/>
      <c r="U386" s="126">
        <v>1</v>
      </c>
      <c r="V386" s="126"/>
      <c r="W386" s="126">
        <v>0</v>
      </c>
      <c r="X386" s="126">
        <v>0</v>
      </c>
      <c r="Y386" s="126">
        <v>0</v>
      </c>
      <c r="Z386" s="124">
        <v>0</v>
      </c>
      <c r="AA386" s="126">
        <v>0</v>
      </c>
      <c r="AB386" s="124">
        <v>0</v>
      </c>
      <c r="AC386" s="126">
        <v>0</v>
      </c>
      <c r="AD386" s="124">
        <v>0</v>
      </c>
      <c r="AE386" s="126">
        <v>1</v>
      </c>
      <c r="AF386" s="124">
        <v>0</v>
      </c>
      <c r="AG386" s="126">
        <v>0</v>
      </c>
      <c r="AH386" s="126">
        <v>0</v>
      </c>
      <c r="AI386" s="126"/>
      <c r="AJ386" s="126"/>
      <c r="AK386" s="105">
        <v>103</v>
      </c>
    </row>
    <row r="387" spans="1:37" s="127" customFormat="1" ht="15.75">
      <c r="A387" s="120">
        <v>385</v>
      </c>
      <c r="B387" s="126" t="s">
        <v>453</v>
      </c>
      <c r="C387" s="121" t="s">
        <v>419</v>
      </c>
      <c r="D387" s="122" t="str">
        <f>"9200088"</f>
        <v>9200088</v>
      </c>
      <c r="E387" s="121" t="s">
        <v>467</v>
      </c>
      <c r="F387" s="132" t="s">
        <v>27</v>
      </c>
      <c r="G387" s="122" t="s">
        <v>227</v>
      </c>
      <c r="H387" s="133" t="s">
        <v>472</v>
      </c>
      <c r="I387" s="126">
        <v>2</v>
      </c>
      <c r="J387" s="126">
        <v>1</v>
      </c>
      <c r="K387" s="126">
        <v>2</v>
      </c>
      <c r="L387" s="124">
        <v>1</v>
      </c>
      <c r="M387" s="126">
        <v>0</v>
      </c>
      <c r="N387" s="126"/>
      <c r="O387" s="126">
        <v>0</v>
      </c>
      <c r="P387" s="126"/>
      <c r="Q387" s="126">
        <v>0</v>
      </c>
      <c r="R387" s="126"/>
      <c r="S387" s="126">
        <v>0</v>
      </c>
      <c r="T387" s="124"/>
      <c r="U387" s="126">
        <v>1</v>
      </c>
      <c r="V387" s="126"/>
      <c r="W387" s="126">
        <v>0</v>
      </c>
      <c r="X387" s="126">
        <v>0</v>
      </c>
      <c r="Y387" s="126">
        <v>0</v>
      </c>
      <c r="Z387" s="124">
        <v>0</v>
      </c>
      <c r="AA387" s="126">
        <v>0</v>
      </c>
      <c r="AB387" s="124">
        <v>0</v>
      </c>
      <c r="AC387" s="126">
        <v>0</v>
      </c>
      <c r="AD387" s="124">
        <v>0</v>
      </c>
      <c r="AE387" s="126">
        <v>0</v>
      </c>
      <c r="AF387" s="124">
        <v>0</v>
      </c>
      <c r="AG387" s="126">
        <v>0</v>
      </c>
      <c r="AH387" s="126">
        <v>0</v>
      </c>
      <c r="AI387" s="126"/>
      <c r="AJ387" s="126"/>
      <c r="AK387" s="105">
        <v>28</v>
      </c>
    </row>
    <row r="388" spans="1:37" s="127" customFormat="1" ht="15.75">
      <c r="A388" s="120">
        <v>386</v>
      </c>
      <c r="B388" s="126" t="s">
        <v>453</v>
      </c>
      <c r="C388" s="121" t="s">
        <v>420</v>
      </c>
      <c r="D388" s="122" t="str">
        <f>"9200091"</f>
        <v>9200091</v>
      </c>
      <c r="E388" s="121" t="s">
        <v>467</v>
      </c>
      <c r="F388" s="132" t="s">
        <v>27</v>
      </c>
      <c r="G388" s="122" t="s">
        <v>227</v>
      </c>
      <c r="H388" s="133" t="s">
        <v>473</v>
      </c>
      <c r="I388" s="126">
        <v>5</v>
      </c>
      <c r="J388" s="126">
        <v>1</v>
      </c>
      <c r="K388" s="126">
        <v>3</v>
      </c>
      <c r="L388" s="124">
        <v>1</v>
      </c>
      <c r="M388" s="126">
        <v>1</v>
      </c>
      <c r="N388" s="126">
        <v>1</v>
      </c>
      <c r="O388" s="126">
        <v>0</v>
      </c>
      <c r="P388" s="126"/>
      <c r="Q388" s="126">
        <v>0</v>
      </c>
      <c r="R388" s="126"/>
      <c r="S388" s="126">
        <v>2</v>
      </c>
      <c r="T388" s="124"/>
      <c r="U388" s="126">
        <v>1</v>
      </c>
      <c r="V388" s="126"/>
      <c r="W388" s="126">
        <v>1</v>
      </c>
      <c r="X388" s="126">
        <v>1</v>
      </c>
      <c r="Y388" s="126">
        <v>1</v>
      </c>
      <c r="Z388" s="124">
        <v>1</v>
      </c>
      <c r="AA388" s="126">
        <v>0</v>
      </c>
      <c r="AB388" s="124">
        <v>0</v>
      </c>
      <c r="AC388" s="126">
        <v>0</v>
      </c>
      <c r="AD388" s="124">
        <v>0</v>
      </c>
      <c r="AE388" s="126">
        <v>0</v>
      </c>
      <c r="AF388" s="124">
        <v>0</v>
      </c>
      <c r="AG388" s="126">
        <v>0</v>
      </c>
      <c r="AH388" s="126">
        <v>0</v>
      </c>
      <c r="AI388" s="126"/>
      <c r="AJ388" s="126"/>
      <c r="AK388" s="105">
        <v>4</v>
      </c>
    </row>
    <row r="389" spans="1:37" s="127" customFormat="1" ht="15.75">
      <c r="A389" s="120">
        <v>387</v>
      </c>
      <c r="B389" s="126" t="s">
        <v>453</v>
      </c>
      <c r="C389" s="121" t="s">
        <v>439</v>
      </c>
      <c r="D389" s="122" t="str">
        <f>"9200092"</f>
        <v>9200092</v>
      </c>
      <c r="E389" s="121" t="s">
        <v>467</v>
      </c>
      <c r="F389" s="132" t="s">
        <v>27</v>
      </c>
      <c r="G389" s="122" t="s">
        <v>227</v>
      </c>
      <c r="H389" s="133" t="s">
        <v>360</v>
      </c>
      <c r="I389" s="126"/>
      <c r="J389" s="126"/>
      <c r="K389" s="126"/>
      <c r="L389" s="124">
        <v>1</v>
      </c>
      <c r="M389" s="126"/>
      <c r="N389" s="126"/>
      <c r="O389" s="126"/>
      <c r="P389" s="126"/>
      <c r="Q389" s="126"/>
      <c r="R389" s="126"/>
      <c r="S389" s="126"/>
      <c r="T389" s="124"/>
      <c r="U389" s="126"/>
      <c r="V389" s="126"/>
      <c r="W389" s="126"/>
      <c r="X389" s="126"/>
      <c r="Y389" s="126"/>
      <c r="Z389" s="124">
        <v>0</v>
      </c>
      <c r="AA389" s="126"/>
      <c r="AB389" s="124">
        <v>0</v>
      </c>
      <c r="AC389" s="126"/>
      <c r="AD389" s="124">
        <v>0</v>
      </c>
      <c r="AE389" s="126"/>
      <c r="AF389" s="124">
        <v>0</v>
      </c>
      <c r="AG389" s="126"/>
      <c r="AH389" s="126"/>
      <c r="AI389" s="126"/>
      <c r="AJ389" s="126"/>
      <c r="AK389" s="105">
        <v>4</v>
      </c>
    </row>
    <row r="390" spans="1:37" s="127" customFormat="1" ht="15.75">
      <c r="A390" s="120">
        <v>388</v>
      </c>
      <c r="B390" s="126" t="s">
        <v>453</v>
      </c>
      <c r="C390" s="121" t="s">
        <v>452</v>
      </c>
      <c r="D390" s="122" t="str">
        <f>"9200096"</f>
        <v>9200096</v>
      </c>
      <c r="E390" s="121" t="s">
        <v>467</v>
      </c>
      <c r="F390" s="132" t="s">
        <v>27</v>
      </c>
      <c r="G390" s="122" t="s">
        <v>227</v>
      </c>
      <c r="H390" s="133" t="s">
        <v>233</v>
      </c>
      <c r="I390" s="126">
        <v>0</v>
      </c>
      <c r="J390" s="126">
        <v>0</v>
      </c>
      <c r="K390" s="126">
        <v>1</v>
      </c>
      <c r="L390" s="124">
        <v>1</v>
      </c>
      <c r="M390" s="126">
        <v>1</v>
      </c>
      <c r="N390" s="126">
        <v>1</v>
      </c>
      <c r="O390" s="126">
        <v>2</v>
      </c>
      <c r="P390" s="126"/>
      <c r="Q390" s="126">
        <v>1</v>
      </c>
      <c r="R390" s="126">
        <v>1</v>
      </c>
      <c r="S390" s="126">
        <v>1</v>
      </c>
      <c r="T390" s="124"/>
      <c r="U390" s="126">
        <v>1</v>
      </c>
      <c r="V390" s="126"/>
      <c r="W390" s="126">
        <v>1</v>
      </c>
      <c r="X390" s="126">
        <v>1</v>
      </c>
      <c r="Y390" s="126">
        <v>0</v>
      </c>
      <c r="Z390" s="124">
        <v>0</v>
      </c>
      <c r="AA390" s="126">
        <v>0</v>
      </c>
      <c r="AB390" s="124">
        <v>0</v>
      </c>
      <c r="AC390" s="126">
        <v>0</v>
      </c>
      <c r="AD390" s="124">
        <v>0</v>
      </c>
      <c r="AE390" s="126">
        <v>1</v>
      </c>
      <c r="AF390" s="124">
        <v>0</v>
      </c>
      <c r="AG390" s="126">
        <v>0</v>
      </c>
      <c r="AH390" s="126">
        <v>0</v>
      </c>
      <c r="AI390" s="126" t="s">
        <v>834</v>
      </c>
      <c r="AJ390" s="126" t="s">
        <v>834</v>
      </c>
      <c r="AK390" s="105">
        <v>15</v>
      </c>
    </row>
    <row r="391" spans="1:37" s="127" customFormat="1" ht="15.75">
      <c r="A391" s="120">
        <v>389</v>
      </c>
      <c r="B391" s="126" t="s">
        <v>453</v>
      </c>
      <c r="C391" s="121" t="s">
        <v>429</v>
      </c>
      <c r="D391" s="122" t="str">
        <f>"9200215"</f>
        <v>9200215</v>
      </c>
      <c r="E391" s="121" t="s">
        <v>467</v>
      </c>
      <c r="F391" s="132" t="s">
        <v>27</v>
      </c>
      <c r="G391" s="122" t="s">
        <v>225</v>
      </c>
      <c r="H391" s="133" t="s">
        <v>348</v>
      </c>
      <c r="I391" s="126"/>
      <c r="J391" s="126"/>
      <c r="K391" s="126">
        <v>1</v>
      </c>
      <c r="L391" s="124">
        <v>1</v>
      </c>
      <c r="M391" s="126">
        <v>2</v>
      </c>
      <c r="N391" s="126">
        <v>1</v>
      </c>
      <c r="O391" s="126">
        <v>1</v>
      </c>
      <c r="P391" s="126"/>
      <c r="Q391" s="126">
        <v>2</v>
      </c>
      <c r="R391" s="126">
        <v>1</v>
      </c>
      <c r="S391" s="126">
        <v>1</v>
      </c>
      <c r="T391" s="124"/>
      <c r="U391" s="126">
        <v>1</v>
      </c>
      <c r="V391" s="126"/>
      <c r="W391" s="126">
        <v>2</v>
      </c>
      <c r="X391" s="126">
        <v>2</v>
      </c>
      <c r="Y391" s="126"/>
      <c r="Z391" s="124">
        <v>0</v>
      </c>
      <c r="AA391" s="126">
        <v>0</v>
      </c>
      <c r="AB391" s="124">
        <v>0</v>
      </c>
      <c r="AC391" s="126">
        <v>0</v>
      </c>
      <c r="AD391" s="124">
        <v>0</v>
      </c>
      <c r="AE391" s="126">
        <v>1</v>
      </c>
      <c r="AF391" s="124">
        <v>0</v>
      </c>
      <c r="AG391" s="126">
        <v>0</v>
      </c>
      <c r="AH391" s="126">
        <v>0</v>
      </c>
      <c r="AI391" s="126" t="s">
        <v>841</v>
      </c>
      <c r="AJ391" s="126" t="s">
        <v>841</v>
      </c>
      <c r="AK391" s="105">
        <v>113</v>
      </c>
    </row>
    <row r="392" spans="1:37" s="127" customFormat="1" ht="15.75">
      <c r="A392" s="120">
        <v>390</v>
      </c>
      <c r="B392" s="126" t="s">
        <v>453</v>
      </c>
      <c r="C392" s="121" t="s">
        <v>445</v>
      </c>
      <c r="D392" s="122" t="str">
        <f>"9200378"</f>
        <v>9200378</v>
      </c>
      <c r="E392" s="121" t="s">
        <v>467</v>
      </c>
      <c r="F392" s="132" t="s">
        <v>27</v>
      </c>
      <c r="G392" s="122" t="s">
        <v>225</v>
      </c>
      <c r="H392" s="133" t="s">
        <v>231</v>
      </c>
      <c r="I392" s="126">
        <v>0</v>
      </c>
      <c r="J392" s="126">
        <v>0</v>
      </c>
      <c r="K392" s="126">
        <v>0</v>
      </c>
      <c r="L392" s="124"/>
      <c r="M392" s="126">
        <v>0</v>
      </c>
      <c r="N392" s="126"/>
      <c r="O392" s="126">
        <v>0</v>
      </c>
      <c r="P392" s="126"/>
      <c r="Q392" s="126">
        <v>1</v>
      </c>
      <c r="R392" s="126">
        <v>1</v>
      </c>
      <c r="S392" s="126">
        <v>0</v>
      </c>
      <c r="T392" s="124"/>
      <c r="U392" s="126">
        <v>0</v>
      </c>
      <c r="V392" s="126"/>
      <c r="W392" s="126">
        <v>0</v>
      </c>
      <c r="X392" s="126">
        <v>0</v>
      </c>
      <c r="Y392" s="126">
        <v>0</v>
      </c>
      <c r="Z392" s="124">
        <v>0</v>
      </c>
      <c r="AA392" s="126">
        <v>0</v>
      </c>
      <c r="AB392" s="124">
        <v>0</v>
      </c>
      <c r="AC392" s="126">
        <v>0</v>
      </c>
      <c r="AD392" s="124">
        <v>0</v>
      </c>
      <c r="AE392" s="126">
        <v>0</v>
      </c>
      <c r="AF392" s="124">
        <v>0</v>
      </c>
      <c r="AG392" s="126">
        <v>0</v>
      </c>
      <c r="AH392" s="126">
        <v>0</v>
      </c>
      <c r="AI392" s="126"/>
      <c r="AJ392" s="126"/>
      <c r="AK392" s="105">
        <v>28</v>
      </c>
    </row>
    <row r="393" spans="1:37" s="127" customFormat="1" ht="15.75">
      <c r="A393" s="120">
        <v>391</v>
      </c>
      <c r="B393" s="126" t="s">
        <v>453</v>
      </c>
      <c r="C393" s="121" t="s">
        <v>432</v>
      </c>
      <c r="D393" s="122" t="str">
        <f>"9200395"</f>
        <v>9200395</v>
      </c>
      <c r="E393" s="121" t="s">
        <v>467</v>
      </c>
      <c r="F393" s="132" t="s">
        <v>27</v>
      </c>
      <c r="G393" s="122" t="s">
        <v>225</v>
      </c>
      <c r="H393" s="133" t="s">
        <v>479</v>
      </c>
      <c r="I393" s="126"/>
      <c r="J393" s="126"/>
      <c r="K393" s="126">
        <v>1</v>
      </c>
      <c r="L393" s="124">
        <v>1</v>
      </c>
      <c r="M393" s="126">
        <v>1</v>
      </c>
      <c r="N393" s="126">
        <v>1</v>
      </c>
      <c r="O393" s="126">
        <v>1</v>
      </c>
      <c r="P393" s="126"/>
      <c r="Q393" s="126">
        <v>2</v>
      </c>
      <c r="R393" s="126">
        <v>1</v>
      </c>
      <c r="S393" s="126">
        <v>1</v>
      </c>
      <c r="T393" s="124"/>
      <c r="U393" s="126">
        <v>0</v>
      </c>
      <c r="V393" s="126"/>
      <c r="W393" s="126">
        <v>0</v>
      </c>
      <c r="X393" s="126">
        <v>0</v>
      </c>
      <c r="Y393" s="126">
        <v>1</v>
      </c>
      <c r="Z393" s="124">
        <v>1</v>
      </c>
      <c r="AA393" s="126">
        <v>0</v>
      </c>
      <c r="AB393" s="124">
        <v>0</v>
      </c>
      <c r="AC393" s="126">
        <v>0</v>
      </c>
      <c r="AD393" s="124">
        <v>0</v>
      </c>
      <c r="AE393" s="126">
        <v>0</v>
      </c>
      <c r="AF393" s="124">
        <v>0</v>
      </c>
      <c r="AG393" s="126">
        <v>0</v>
      </c>
      <c r="AH393" s="126">
        <v>0</v>
      </c>
      <c r="AI393" s="126" t="s">
        <v>834</v>
      </c>
      <c r="AJ393" s="126" t="s">
        <v>834</v>
      </c>
      <c r="AK393" s="105">
        <v>11</v>
      </c>
    </row>
    <row r="394" spans="1:37" s="127" customFormat="1" ht="15.75">
      <c r="A394" s="120">
        <v>392</v>
      </c>
      <c r="B394" s="126" t="s">
        <v>453</v>
      </c>
      <c r="C394" s="121" t="s">
        <v>457</v>
      </c>
      <c r="D394" s="121"/>
      <c r="E394" s="121" t="s">
        <v>467</v>
      </c>
      <c r="F394" s="132" t="s">
        <v>27</v>
      </c>
      <c r="G394" s="122" t="s">
        <v>225</v>
      </c>
      <c r="H394" s="133" t="s">
        <v>235</v>
      </c>
      <c r="I394" s="126">
        <v>10</v>
      </c>
      <c r="J394" s="126">
        <v>2</v>
      </c>
      <c r="K394" s="126">
        <v>0</v>
      </c>
      <c r="L394" s="124"/>
      <c r="M394" s="126">
        <v>1</v>
      </c>
      <c r="N394" s="126">
        <v>1</v>
      </c>
      <c r="O394" s="126">
        <v>0</v>
      </c>
      <c r="P394" s="126"/>
      <c r="Q394" s="126">
        <v>1</v>
      </c>
      <c r="R394" s="126">
        <v>1</v>
      </c>
      <c r="S394" s="126">
        <v>1</v>
      </c>
      <c r="T394" s="124"/>
      <c r="U394" s="126">
        <v>0</v>
      </c>
      <c r="V394" s="126"/>
      <c r="W394" s="126">
        <v>5</v>
      </c>
      <c r="X394" s="126">
        <v>5</v>
      </c>
      <c r="Y394" s="126">
        <v>1</v>
      </c>
      <c r="Z394" s="124">
        <v>1</v>
      </c>
      <c r="AA394" s="126">
        <v>0</v>
      </c>
      <c r="AB394" s="124">
        <v>0</v>
      </c>
      <c r="AC394" s="126">
        <v>0</v>
      </c>
      <c r="AD394" s="124">
        <v>0</v>
      </c>
      <c r="AE394" s="126">
        <v>14</v>
      </c>
      <c r="AF394" s="124">
        <v>0</v>
      </c>
      <c r="AG394" s="126">
        <v>0</v>
      </c>
      <c r="AH394" s="126">
        <v>0</v>
      </c>
      <c r="AI394" s="126"/>
      <c r="AJ394" s="126"/>
      <c r="AK394" s="105"/>
    </row>
    <row r="395" spans="1:37" s="127" customFormat="1" ht="15.75">
      <c r="A395" s="120">
        <v>393</v>
      </c>
      <c r="B395" s="126" t="s">
        <v>453</v>
      </c>
      <c r="C395" s="121" t="s">
        <v>459</v>
      </c>
      <c r="D395" s="121"/>
      <c r="E395" s="121" t="s">
        <v>467</v>
      </c>
      <c r="F395" s="132" t="s">
        <v>27</v>
      </c>
      <c r="G395" s="122" t="s">
        <v>225</v>
      </c>
      <c r="H395" s="133" t="s">
        <v>480</v>
      </c>
      <c r="I395" s="126">
        <v>10</v>
      </c>
      <c r="J395" s="126">
        <v>2</v>
      </c>
      <c r="K395" s="126">
        <v>0</v>
      </c>
      <c r="L395" s="124"/>
      <c r="M395" s="126">
        <v>1</v>
      </c>
      <c r="N395" s="126">
        <v>1</v>
      </c>
      <c r="O395" s="126">
        <v>0</v>
      </c>
      <c r="P395" s="126"/>
      <c r="Q395" s="126">
        <v>1</v>
      </c>
      <c r="R395" s="126">
        <v>1</v>
      </c>
      <c r="S395" s="126">
        <v>1</v>
      </c>
      <c r="T395" s="124"/>
      <c r="U395" s="126">
        <v>0</v>
      </c>
      <c r="V395" s="126"/>
      <c r="W395" s="126">
        <v>5</v>
      </c>
      <c r="X395" s="126">
        <v>5</v>
      </c>
      <c r="Y395" s="126">
        <v>1</v>
      </c>
      <c r="Z395" s="124">
        <v>1</v>
      </c>
      <c r="AA395" s="126">
        <v>0</v>
      </c>
      <c r="AB395" s="124">
        <v>0</v>
      </c>
      <c r="AC395" s="126">
        <v>0</v>
      </c>
      <c r="AD395" s="124">
        <v>0</v>
      </c>
      <c r="AE395" s="126">
        <v>14</v>
      </c>
      <c r="AF395" s="124">
        <v>0</v>
      </c>
      <c r="AG395" s="126">
        <v>0</v>
      </c>
      <c r="AH395" s="126">
        <v>0</v>
      </c>
      <c r="AI395" s="126"/>
      <c r="AJ395" s="126"/>
      <c r="AK395" s="105"/>
    </row>
    <row r="396" spans="1:37" s="127" customFormat="1" ht="29.25">
      <c r="A396" s="120">
        <v>394</v>
      </c>
      <c r="B396" s="126" t="s">
        <v>453</v>
      </c>
      <c r="C396" s="121" t="s">
        <v>374</v>
      </c>
      <c r="D396" s="122" t="str">
        <f>"9200168"</f>
        <v>9200168</v>
      </c>
      <c r="E396" s="121" t="s">
        <v>468</v>
      </c>
      <c r="F396" s="132" t="s">
        <v>27</v>
      </c>
      <c r="G396" s="134" t="s">
        <v>226</v>
      </c>
      <c r="H396" s="133" t="s">
        <v>232</v>
      </c>
      <c r="I396" s="126">
        <v>0</v>
      </c>
      <c r="J396" s="126">
        <v>0</v>
      </c>
      <c r="K396" s="126">
        <v>0</v>
      </c>
      <c r="L396" s="124"/>
      <c r="M396" s="126">
        <v>0</v>
      </c>
      <c r="N396" s="126">
        <v>0</v>
      </c>
      <c r="O396" s="126">
        <v>0</v>
      </c>
      <c r="P396" s="126"/>
      <c r="Q396" s="126">
        <v>1</v>
      </c>
      <c r="R396" s="126"/>
      <c r="S396" s="126">
        <v>1</v>
      </c>
      <c r="T396" s="124"/>
      <c r="U396" s="126">
        <v>1</v>
      </c>
      <c r="V396" s="126">
        <v>1</v>
      </c>
      <c r="W396" s="126">
        <v>1</v>
      </c>
      <c r="X396" s="126">
        <v>1</v>
      </c>
      <c r="Y396" s="126">
        <v>0</v>
      </c>
      <c r="Z396" s="124">
        <v>0</v>
      </c>
      <c r="AA396" s="126">
        <v>0</v>
      </c>
      <c r="AB396" s="124"/>
      <c r="AC396" s="126">
        <v>0</v>
      </c>
      <c r="AD396" s="124">
        <v>0</v>
      </c>
      <c r="AE396" s="126">
        <v>1</v>
      </c>
      <c r="AF396" s="124">
        <v>0</v>
      </c>
      <c r="AG396" s="126">
        <v>1</v>
      </c>
      <c r="AH396" s="126">
        <v>1</v>
      </c>
      <c r="AI396" s="126" t="s">
        <v>834</v>
      </c>
      <c r="AJ396" s="126" t="s">
        <v>834</v>
      </c>
      <c r="AK396" s="105"/>
    </row>
    <row r="397" spans="1:37" s="127" customFormat="1" ht="29.25">
      <c r="A397" s="120">
        <v>395</v>
      </c>
      <c r="B397" s="126" t="s">
        <v>453</v>
      </c>
      <c r="C397" s="121" t="s">
        <v>466</v>
      </c>
      <c r="D397" s="121"/>
      <c r="E397" s="121" t="s">
        <v>468</v>
      </c>
      <c r="F397" s="132" t="s">
        <v>27</v>
      </c>
      <c r="G397" s="134" t="s">
        <v>226</v>
      </c>
      <c r="H397" s="133" t="s">
        <v>487</v>
      </c>
      <c r="I397" s="126">
        <v>10</v>
      </c>
      <c r="J397" s="126">
        <v>2</v>
      </c>
      <c r="K397" s="126">
        <v>0</v>
      </c>
      <c r="L397" s="124"/>
      <c r="M397" s="126">
        <v>1</v>
      </c>
      <c r="N397" s="126">
        <v>1</v>
      </c>
      <c r="O397" s="126">
        <v>0</v>
      </c>
      <c r="P397" s="126"/>
      <c r="Q397" s="126">
        <v>1</v>
      </c>
      <c r="R397" s="126"/>
      <c r="S397" s="126">
        <v>1</v>
      </c>
      <c r="T397" s="124"/>
      <c r="U397" s="126">
        <v>0</v>
      </c>
      <c r="V397" s="126">
        <v>1</v>
      </c>
      <c r="W397" s="126">
        <v>5</v>
      </c>
      <c r="X397" s="126">
        <v>5</v>
      </c>
      <c r="Y397" s="126">
        <v>1</v>
      </c>
      <c r="Z397" s="124">
        <v>0</v>
      </c>
      <c r="AA397" s="126">
        <v>0</v>
      </c>
      <c r="AB397" s="124"/>
      <c r="AC397" s="126">
        <v>0</v>
      </c>
      <c r="AD397" s="124">
        <v>0</v>
      </c>
      <c r="AE397" s="126">
        <v>14</v>
      </c>
      <c r="AF397" s="124">
        <v>0</v>
      </c>
      <c r="AG397" s="126">
        <v>0</v>
      </c>
      <c r="AH397" s="126">
        <v>0</v>
      </c>
      <c r="AI397" s="126"/>
      <c r="AJ397" s="126"/>
      <c r="AK397" s="105"/>
    </row>
    <row r="398" spans="1:37" s="127" customFormat="1" ht="15.75">
      <c r="A398" s="120">
        <v>396</v>
      </c>
      <c r="B398" s="126" t="s">
        <v>453</v>
      </c>
      <c r="C398" s="121" t="s">
        <v>365</v>
      </c>
      <c r="D398" s="122" t="str">
        <f>"9200149"</f>
        <v>9200149</v>
      </c>
      <c r="E398" s="121" t="s">
        <v>468</v>
      </c>
      <c r="F398" s="132" t="s">
        <v>27</v>
      </c>
      <c r="G398" s="122" t="s">
        <v>329</v>
      </c>
      <c r="H398" s="133" t="s">
        <v>503</v>
      </c>
      <c r="I398" s="126">
        <v>0</v>
      </c>
      <c r="J398" s="126">
        <v>0</v>
      </c>
      <c r="K398" s="126">
        <v>0</v>
      </c>
      <c r="L398" s="124"/>
      <c r="M398" s="126">
        <v>0</v>
      </c>
      <c r="N398" s="126">
        <v>0</v>
      </c>
      <c r="O398" s="126">
        <v>0</v>
      </c>
      <c r="P398" s="126"/>
      <c r="Q398" s="126">
        <v>0</v>
      </c>
      <c r="R398" s="126"/>
      <c r="S398" s="126">
        <v>0</v>
      </c>
      <c r="T398" s="124"/>
      <c r="U398" s="126">
        <v>0</v>
      </c>
      <c r="V398" s="126"/>
      <c r="W398" s="126">
        <v>0</v>
      </c>
      <c r="X398" s="126">
        <v>0</v>
      </c>
      <c r="Y398" s="126">
        <v>0</v>
      </c>
      <c r="Z398" s="124">
        <v>0</v>
      </c>
      <c r="AA398" s="126">
        <v>0</v>
      </c>
      <c r="AB398" s="124"/>
      <c r="AC398" s="126">
        <v>0</v>
      </c>
      <c r="AD398" s="124">
        <v>0</v>
      </c>
      <c r="AE398" s="126">
        <v>0</v>
      </c>
      <c r="AF398" s="124">
        <v>0</v>
      </c>
      <c r="AG398" s="126">
        <v>1</v>
      </c>
      <c r="AH398" s="126">
        <v>1</v>
      </c>
      <c r="AI398" s="126"/>
      <c r="AJ398" s="126"/>
      <c r="AK398" s="105">
        <v>6</v>
      </c>
    </row>
    <row r="399" spans="1:37" s="127" customFormat="1" ht="15.75">
      <c r="A399" s="120">
        <v>397</v>
      </c>
      <c r="B399" s="126" t="s">
        <v>453</v>
      </c>
      <c r="C399" s="121" t="s">
        <v>346</v>
      </c>
      <c r="D399" s="122" t="str">
        <f>"9200434"</f>
        <v>9200434</v>
      </c>
      <c r="E399" s="121" t="s">
        <v>468</v>
      </c>
      <c r="F399" s="132" t="s">
        <v>27</v>
      </c>
      <c r="G399" s="122" t="s">
        <v>329</v>
      </c>
      <c r="H399" s="133" t="s">
        <v>478</v>
      </c>
      <c r="I399" s="126"/>
      <c r="J399" s="126">
        <v>0</v>
      </c>
      <c r="K399" s="126">
        <v>1</v>
      </c>
      <c r="L399" s="124">
        <v>1</v>
      </c>
      <c r="M399" s="126">
        <v>1</v>
      </c>
      <c r="N399" s="126">
        <v>1</v>
      </c>
      <c r="O399" s="126">
        <v>0</v>
      </c>
      <c r="P399" s="126"/>
      <c r="Q399" s="126">
        <v>0</v>
      </c>
      <c r="R399" s="126"/>
      <c r="S399" s="126">
        <v>0</v>
      </c>
      <c r="T399" s="124"/>
      <c r="U399" s="126">
        <v>0</v>
      </c>
      <c r="V399" s="126"/>
      <c r="W399" s="126">
        <v>0</v>
      </c>
      <c r="X399" s="126">
        <v>0</v>
      </c>
      <c r="Y399" s="126">
        <v>0</v>
      </c>
      <c r="Z399" s="124">
        <v>0</v>
      </c>
      <c r="AA399" s="126">
        <v>0</v>
      </c>
      <c r="AB399" s="124"/>
      <c r="AC399" s="126">
        <v>0</v>
      </c>
      <c r="AD399" s="124">
        <v>0</v>
      </c>
      <c r="AE399" s="126">
        <v>0</v>
      </c>
      <c r="AF399" s="124">
        <v>0</v>
      </c>
      <c r="AG399" s="126">
        <v>0</v>
      </c>
      <c r="AH399" s="126">
        <v>0</v>
      </c>
      <c r="AI399" s="126" t="s">
        <v>834</v>
      </c>
      <c r="AJ399" s="126" t="s">
        <v>834</v>
      </c>
      <c r="AK399" s="105">
        <v>12</v>
      </c>
    </row>
    <row r="400" spans="1:37" s="127" customFormat="1" ht="15.75">
      <c r="A400" s="120">
        <v>398</v>
      </c>
      <c r="B400" s="126" t="s">
        <v>453</v>
      </c>
      <c r="C400" s="121" t="s">
        <v>328</v>
      </c>
      <c r="D400" s="122" t="str">
        <f>"9200554"</f>
        <v>9200554</v>
      </c>
      <c r="E400" s="121" t="s">
        <v>468</v>
      </c>
      <c r="F400" s="132" t="s">
        <v>27</v>
      </c>
      <c r="G400" s="122" t="s">
        <v>329</v>
      </c>
      <c r="H400" s="133" t="s">
        <v>470</v>
      </c>
      <c r="I400" s="126"/>
      <c r="J400" s="126">
        <v>0</v>
      </c>
      <c r="K400" s="126"/>
      <c r="L400" s="124"/>
      <c r="M400" s="126"/>
      <c r="N400" s="126">
        <v>0</v>
      </c>
      <c r="O400" s="126"/>
      <c r="P400" s="126"/>
      <c r="Q400" s="126"/>
      <c r="R400" s="126"/>
      <c r="S400" s="126"/>
      <c r="T400" s="124"/>
      <c r="U400" s="126"/>
      <c r="V400" s="126"/>
      <c r="W400" s="126"/>
      <c r="X400" s="126"/>
      <c r="Y400" s="126"/>
      <c r="Z400" s="124">
        <v>0</v>
      </c>
      <c r="AA400" s="126"/>
      <c r="AB400" s="124"/>
      <c r="AC400" s="126"/>
      <c r="AD400" s="124">
        <v>0</v>
      </c>
      <c r="AE400" s="126"/>
      <c r="AF400" s="124">
        <v>0</v>
      </c>
      <c r="AG400" s="126"/>
      <c r="AH400" s="126"/>
      <c r="AI400" s="126"/>
      <c r="AJ400" s="126"/>
      <c r="AK400" s="105">
        <v>13</v>
      </c>
    </row>
    <row r="401" spans="1:37" s="127" customFormat="1" ht="15.75">
      <c r="A401" s="120">
        <v>399</v>
      </c>
      <c r="B401" s="126" t="s">
        <v>453</v>
      </c>
      <c r="C401" s="121" t="s">
        <v>349</v>
      </c>
      <c r="D401" s="122" t="str">
        <f>"9200601"</f>
        <v>9200601</v>
      </c>
      <c r="E401" s="121" t="s">
        <v>468</v>
      </c>
      <c r="F401" s="132" t="s">
        <v>27</v>
      </c>
      <c r="G401" s="122" t="s">
        <v>329</v>
      </c>
      <c r="H401" s="133" t="s">
        <v>501</v>
      </c>
      <c r="I401" s="126">
        <v>0</v>
      </c>
      <c r="J401" s="126">
        <v>0</v>
      </c>
      <c r="K401" s="126">
        <v>1</v>
      </c>
      <c r="L401" s="124">
        <v>1</v>
      </c>
      <c r="M401" s="126">
        <v>0</v>
      </c>
      <c r="N401" s="126">
        <v>0</v>
      </c>
      <c r="O401" s="126">
        <v>1</v>
      </c>
      <c r="P401" s="126">
        <v>1</v>
      </c>
      <c r="Q401" s="126">
        <v>0</v>
      </c>
      <c r="R401" s="126"/>
      <c r="S401" s="126">
        <v>0</v>
      </c>
      <c r="T401" s="124"/>
      <c r="U401" s="126">
        <v>1</v>
      </c>
      <c r="V401" s="126">
        <v>1</v>
      </c>
      <c r="W401" s="126">
        <v>0</v>
      </c>
      <c r="X401" s="126">
        <v>0</v>
      </c>
      <c r="Y401" s="126">
        <v>0</v>
      </c>
      <c r="Z401" s="124">
        <v>0</v>
      </c>
      <c r="AA401" s="126">
        <v>0</v>
      </c>
      <c r="AB401" s="124"/>
      <c r="AC401" s="126">
        <v>0</v>
      </c>
      <c r="AD401" s="124">
        <v>0</v>
      </c>
      <c r="AE401" s="126">
        <v>1</v>
      </c>
      <c r="AF401" s="124">
        <v>0</v>
      </c>
      <c r="AG401" s="126">
        <v>0</v>
      </c>
      <c r="AH401" s="126">
        <v>0</v>
      </c>
      <c r="AI401" s="126"/>
      <c r="AJ401" s="126"/>
      <c r="AK401" s="105">
        <v>11</v>
      </c>
    </row>
    <row r="402" spans="1:37" s="127" customFormat="1" ht="15.75">
      <c r="A402" s="120">
        <v>400</v>
      </c>
      <c r="B402" s="126" t="s">
        <v>453</v>
      </c>
      <c r="C402" s="121" t="s">
        <v>334</v>
      </c>
      <c r="D402" s="122" t="str">
        <f>"9200526"</f>
        <v>9200526</v>
      </c>
      <c r="E402" s="121" t="s">
        <v>468</v>
      </c>
      <c r="F402" s="132" t="s">
        <v>27</v>
      </c>
      <c r="G402" s="122" t="s">
        <v>335</v>
      </c>
      <c r="H402" s="133" t="s">
        <v>490</v>
      </c>
      <c r="I402" s="126"/>
      <c r="J402" s="126">
        <v>0</v>
      </c>
      <c r="K402" s="126"/>
      <c r="L402" s="124"/>
      <c r="M402" s="126"/>
      <c r="N402" s="126">
        <v>0</v>
      </c>
      <c r="O402" s="126"/>
      <c r="P402" s="126"/>
      <c r="Q402" s="126"/>
      <c r="R402" s="126"/>
      <c r="S402" s="126"/>
      <c r="T402" s="124"/>
      <c r="U402" s="126"/>
      <c r="V402" s="126"/>
      <c r="W402" s="126"/>
      <c r="X402" s="126"/>
      <c r="Y402" s="126"/>
      <c r="Z402" s="124">
        <v>0</v>
      </c>
      <c r="AA402" s="126"/>
      <c r="AB402" s="124"/>
      <c r="AC402" s="126"/>
      <c r="AD402" s="124">
        <v>0</v>
      </c>
      <c r="AE402" s="126"/>
      <c r="AF402" s="124">
        <v>0</v>
      </c>
      <c r="AG402" s="126"/>
      <c r="AH402" s="126"/>
      <c r="AI402" s="126"/>
      <c r="AJ402" s="126"/>
      <c r="AK402" s="105">
        <v>4</v>
      </c>
    </row>
    <row r="403" spans="1:37" s="127" customFormat="1" ht="15.75">
      <c r="A403" s="120">
        <v>401</v>
      </c>
      <c r="B403" s="126" t="s">
        <v>453</v>
      </c>
      <c r="C403" s="121" t="s">
        <v>361</v>
      </c>
      <c r="D403" s="122" t="str">
        <f>"9520853"</f>
        <v>9520853</v>
      </c>
      <c r="E403" s="121" t="s">
        <v>468</v>
      </c>
      <c r="F403" s="132" t="s">
        <v>27</v>
      </c>
      <c r="G403" s="122" t="s">
        <v>335</v>
      </c>
      <c r="H403" s="133" t="s">
        <v>485</v>
      </c>
      <c r="I403" s="126">
        <v>1</v>
      </c>
      <c r="J403" s="126">
        <v>0</v>
      </c>
      <c r="K403" s="126">
        <v>2</v>
      </c>
      <c r="L403" s="124">
        <v>1</v>
      </c>
      <c r="M403" s="126">
        <v>1</v>
      </c>
      <c r="N403" s="126">
        <v>1</v>
      </c>
      <c r="O403" s="126">
        <v>1</v>
      </c>
      <c r="P403" s="126"/>
      <c r="Q403" s="126">
        <v>1</v>
      </c>
      <c r="R403" s="126"/>
      <c r="S403" s="126">
        <v>1</v>
      </c>
      <c r="T403" s="124"/>
      <c r="U403" s="126">
        <v>1</v>
      </c>
      <c r="V403" s="126">
        <v>1</v>
      </c>
      <c r="W403" s="126">
        <v>1</v>
      </c>
      <c r="X403" s="126">
        <v>1</v>
      </c>
      <c r="Y403" s="126">
        <v>1</v>
      </c>
      <c r="Z403" s="124">
        <v>0</v>
      </c>
      <c r="AA403" s="126">
        <v>1</v>
      </c>
      <c r="AB403" s="124"/>
      <c r="AC403" s="126">
        <v>0</v>
      </c>
      <c r="AD403" s="124">
        <v>0</v>
      </c>
      <c r="AE403" s="126">
        <v>1</v>
      </c>
      <c r="AF403" s="124">
        <v>0</v>
      </c>
      <c r="AG403" s="126">
        <v>1</v>
      </c>
      <c r="AH403" s="126">
        <v>1</v>
      </c>
      <c r="AI403" s="126"/>
      <c r="AJ403" s="126"/>
      <c r="AK403" s="105"/>
    </row>
    <row r="404" spans="1:37" s="127" customFormat="1" ht="15.75">
      <c r="A404" s="120">
        <v>402</v>
      </c>
      <c r="B404" s="126" t="s">
        <v>453</v>
      </c>
      <c r="C404" s="121" t="s">
        <v>368</v>
      </c>
      <c r="D404" s="122" t="str">
        <f>"9520854"</f>
        <v>9520854</v>
      </c>
      <c r="E404" s="121" t="s">
        <v>468</v>
      </c>
      <c r="F404" s="132" t="s">
        <v>27</v>
      </c>
      <c r="G404" s="122" t="s">
        <v>335</v>
      </c>
      <c r="H404" s="133" t="s">
        <v>369</v>
      </c>
      <c r="I404" s="126">
        <v>1</v>
      </c>
      <c r="J404" s="126">
        <v>0</v>
      </c>
      <c r="K404" s="126">
        <v>0</v>
      </c>
      <c r="L404" s="124"/>
      <c r="M404" s="126">
        <v>0</v>
      </c>
      <c r="N404" s="126">
        <v>0</v>
      </c>
      <c r="O404" s="126">
        <v>1</v>
      </c>
      <c r="P404" s="126">
        <v>1</v>
      </c>
      <c r="Q404" s="126">
        <v>1</v>
      </c>
      <c r="R404" s="126">
        <v>1</v>
      </c>
      <c r="S404" s="126">
        <v>0</v>
      </c>
      <c r="T404" s="124"/>
      <c r="U404" s="126">
        <v>0</v>
      </c>
      <c r="V404" s="126"/>
      <c r="W404" s="126">
        <v>1</v>
      </c>
      <c r="X404" s="126">
        <v>1</v>
      </c>
      <c r="Y404" s="126">
        <v>1</v>
      </c>
      <c r="Z404" s="124">
        <v>0</v>
      </c>
      <c r="AA404" s="126">
        <v>1</v>
      </c>
      <c r="AB404" s="124"/>
      <c r="AC404" s="126">
        <v>0</v>
      </c>
      <c r="AD404" s="124">
        <v>0</v>
      </c>
      <c r="AE404" s="126">
        <v>1</v>
      </c>
      <c r="AF404" s="124">
        <v>0</v>
      </c>
      <c r="AG404" s="126">
        <v>1</v>
      </c>
      <c r="AH404" s="126">
        <v>1</v>
      </c>
      <c r="AI404" s="126"/>
      <c r="AJ404" s="126"/>
      <c r="AK404" s="105">
        <v>17</v>
      </c>
    </row>
    <row r="405" spans="1:37" s="127" customFormat="1" ht="15.75">
      <c r="A405" s="120">
        <v>403</v>
      </c>
      <c r="B405" s="126" t="s">
        <v>453</v>
      </c>
      <c r="C405" s="121" t="s">
        <v>375</v>
      </c>
      <c r="D405" s="122" t="str">
        <f>"9200072"</f>
        <v>9200072</v>
      </c>
      <c r="E405" s="121" t="s">
        <v>468</v>
      </c>
      <c r="F405" s="132" t="s">
        <v>27</v>
      </c>
      <c r="G405" s="122" t="s">
        <v>228</v>
      </c>
      <c r="H405" s="133" t="s">
        <v>488</v>
      </c>
      <c r="I405" s="126">
        <v>2</v>
      </c>
      <c r="J405" s="126">
        <v>0</v>
      </c>
      <c r="K405" s="126">
        <v>1</v>
      </c>
      <c r="L405" s="124">
        <v>1</v>
      </c>
      <c r="M405" s="126">
        <v>0</v>
      </c>
      <c r="N405" s="126">
        <v>0</v>
      </c>
      <c r="O405" s="126">
        <v>0</v>
      </c>
      <c r="P405" s="126"/>
      <c r="Q405" s="126">
        <v>0</v>
      </c>
      <c r="R405" s="126"/>
      <c r="S405" s="126">
        <v>1</v>
      </c>
      <c r="T405" s="124"/>
      <c r="U405" s="126">
        <v>0</v>
      </c>
      <c r="V405" s="126">
        <v>1</v>
      </c>
      <c r="W405" s="126">
        <v>0</v>
      </c>
      <c r="X405" s="126">
        <v>0</v>
      </c>
      <c r="Y405" s="126">
        <v>0</v>
      </c>
      <c r="Z405" s="124">
        <v>0</v>
      </c>
      <c r="AA405" s="126">
        <v>0</v>
      </c>
      <c r="AB405" s="124"/>
      <c r="AC405" s="126">
        <v>0</v>
      </c>
      <c r="AD405" s="124">
        <v>0</v>
      </c>
      <c r="AE405" s="126">
        <v>1</v>
      </c>
      <c r="AF405" s="124">
        <v>0</v>
      </c>
      <c r="AG405" s="126">
        <v>2</v>
      </c>
      <c r="AH405" s="126">
        <v>2</v>
      </c>
      <c r="AI405" s="126"/>
      <c r="AJ405" s="126"/>
      <c r="AK405" s="105">
        <v>7</v>
      </c>
    </row>
    <row r="406" spans="1:37" s="127" customFormat="1" ht="15.75">
      <c r="A406" s="120">
        <v>404</v>
      </c>
      <c r="B406" s="126" t="s">
        <v>453</v>
      </c>
      <c r="C406" s="121" t="s">
        <v>465</v>
      </c>
      <c r="D406" s="122" t="str">
        <f>"9200111"</f>
        <v>9200111</v>
      </c>
      <c r="E406" s="121" t="s">
        <v>468</v>
      </c>
      <c r="F406" s="132" t="s">
        <v>27</v>
      </c>
      <c r="G406" s="122" t="s">
        <v>228</v>
      </c>
      <c r="H406" s="133" t="s">
        <v>236</v>
      </c>
      <c r="I406" s="126">
        <v>2</v>
      </c>
      <c r="J406" s="126">
        <v>0</v>
      </c>
      <c r="K406" s="126">
        <v>1</v>
      </c>
      <c r="L406" s="124">
        <v>1</v>
      </c>
      <c r="M406" s="126">
        <v>2</v>
      </c>
      <c r="N406" s="126">
        <v>1</v>
      </c>
      <c r="O406" s="126">
        <v>0</v>
      </c>
      <c r="P406" s="126"/>
      <c r="Q406" s="126">
        <v>1</v>
      </c>
      <c r="R406" s="126"/>
      <c r="S406" s="126">
        <v>1</v>
      </c>
      <c r="T406" s="124"/>
      <c r="U406" s="126">
        <v>1</v>
      </c>
      <c r="V406" s="126">
        <v>1</v>
      </c>
      <c r="W406" s="126">
        <v>1</v>
      </c>
      <c r="X406" s="126">
        <v>1</v>
      </c>
      <c r="Y406" s="126">
        <v>1</v>
      </c>
      <c r="Z406" s="124">
        <v>0</v>
      </c>
      <c r="AA406" s="126">
        <v>0</v>
      </c>
      <c r="AB406" s="124"/>
      <c r="AC406" s="126">
        <v>0</v>
      </c>
      <c r="AD406" s="124">
        <v>0</v>
      </c>
      <c r="AE406" s="126">
        <v>0</v>
      </c>
      <c r="AF406" s="124">
        <v>0</v>
      </c>
      <c r="AG406" s="126">
        <v>2</v>
      </c>
      <c r="AH406" s="126">
        <v>2</v>
      </c>
      <c r="AI406" s="126"/>
      <c r="AJ406" s="126"/>
      <c r="AK406" s="105">
        <v>34</v>
      </c>
    </row>
    <row r="407" spans="1:37" s="127" customFormat="1" ht="15.75">
      <c r="A407" s="120">
        <v>405</v>
      </c>
      <c r="B407" s="126" t="s">
        <v>453</v>
      </c>
      <c r="C407" s="121" t="s">
        <v>344</v>
      </c>
      <c r="D407" s="122" t="str">
        <f>"9200361"</f>
        <v>9200361</v>
      </c>
      <c r="E407" s="121" t="s">
        <v>468</v>
      </c>
      <c r="F407" s="132" t="s">
        <v>27</v>
      </c>
      <c r="G407" s="122" t="s">
        <v>228</v>
      </c>
      <c r="H407" s="133" t="s">
        <v>228</v>
      </c>
      <c r="I407" s="126">
        <v>0</v>
      </c>
      <c r="J407" s="126">
        <v>0</v>
      </c>
      <c r="K407" s="126">
        <v>0</v>
      </c>
      <c r="L407" s="124"/>
      <c r="M407" s="126">
        <v>0</v>
      </c>
      <c r="N407" s="126">
        <v>0</v>
      </c>
      <c r="O407" s="126">
        <v>0</v>
      </c>
      <c r="P407" s="126"/>
      <c r="Q407" s="126">
        <v>0</v>
      </c>
      <c r="R407" s="126"/>
      <c r="S407" s="126">
        <v>0</v>
      </c>
      <c r="T407" s="124"/>
      <c r="U407" s="126">
        <v>1</v>
      </c>
      <c r="V407" s="126">
        <v>1</v>
      </c>
      <c r="W407" s="126">
        <v>0</v>
      </c>
      <c r="X407" s="126">
        <v>0</v>
      </c>
      <c r="Y407" s="126">
        <v>0</v>
      </c>
      <c r="Z407" s="124">
        <v>0</v>
      </c>
      <c r="AA407" s="126">
        <v>0</v>
      </c>
      <c r="AB407" s="124"/>
      <c r="AC407" s="126">
        <v>0</v>
      </c>
      <c r="AD407" s="124">
        <v>0</v>
      </c>
      <c r="AE407" s="126">
        <v>0</v>
      </c>
      <c r="AF407" s="124">
        <v>0</v>
      </c>
      <c r="AG407" s="126">
        <v>0</v>
      </c>
      <c r="AH407" s="126">
        <v>0</v>
      </c>
      <c r="AI407" s="126"/>
      <c r="AJ407" s="126"/>
      <c r="AK407" s="105">
        <v>9</v>
      </c>
    </row>
    <row r="408" spans="1:37" s="127" customFormat="1" ht="15.75">
      <c r="A408" s="120">
        <v>406</v>
      </c>
      <c r="B408" s="126" t="s">
        <v>453</v>
      </c>
      <c r="C408" s="121" t="s">
        <v>352</v>
      </c>
      <c r="D408" s="122" t="str">
        <f>"9200368"</f>
        <v>9200368</v>
      </c>
      <c r="E408" s="121" t="s">
        <v>468</v>
      </c>
      <c r="F408" s="132" t="s">
        <v>27</v>
      </c>
      <c r="G408" s="122" t="s">
        <v>228</v>
      </c>
      <c r="H408" s="133" t="s">
        <v>481</v>
      </c>
      <c r="I408" s="126">
        <v>1</v>
      </c>
      <c r="J408" s="126">
        <v>0</v>
      </c>
      <c r="K408" s="126">
        <v>1</v>
      </c>
      <c r="L408" s="124">
        <v>1</v>
      </c>
      <c r="M408" s="126">
        <v>1</v>
      </c>
      <c r="N408" s="126">
        <v>1</v>
      </c>
      <c r="O408" s="126">
        <v>1</v>
      </c>
      <c r="P408" s="126"/>
      <c r="Q408" s="126">
        <v>0</v>
      </c>
      <c r="R408" s="126"/>
      <c r="S408" s="126">
        <v>1</v>
      </c>
      <c r="T408" s="124"/>
      <c r="U408" s="126">
        <v>0</v>
      </c>
      <c r="V408" s="126">
        <v>1</v>
      </c>
      <c r="W408" s="126">
        <v>0</v>
      </c>
      <c r="X408" s="126">
        <v>0</v>
      </c>
      <c r="Y408" s="126">
        <v>0</v>
      </c>
      <c r="Z408" s="124">
        <v>0</v>
      </c>
      <c r="AA408" s="126" t="s">
        <v>886</v>
      </c>
      <c r="AB408" s="124"/>
      <c r="AC408" s="126" t="s">
        <v>886</v>
      </c>
      <c r="AD408" s="124">
        <v>0</v>
      </c>
      <c r="AE408" s="126">
        <v>0</v>
      </c>
      <c r="AF408" s="124">
        <v>0</v>
      </c>
      <c r="AG408" s="126">
        <v>1</v>
      </c>
      <c r="AH408" s="126">
        <v>1</v>
      </c>
      <c r="AI408" s="126"/>
      <c r="AJ408" s="126"/>
      <c r="AK408" s="105">
        <v>1</v>
      </c>
    </row>
    <row r="409" spans="1:37" s="127" customFormat="1" ht="15.75">
      <c r="A409" s="120">
        <v>407</v>
      </c>
      <c r="B409" s="126" t="s">
        <v>453</v>
      </c>
      <c r="C409" s="121" t="s">
        <v>337</v>
      </c>
      <c r="D409" s="122" t="str">
        <f>"9200454"</f>
        <v>9200454</v>
      </c>
      <c r="E409" s="121" t="s">
        <v>468</v>
      </c>
      <c r="F409" s="132" t="s">
        <v>27</v>
      </c>
      <c r="G409" s="122" t="s">
        <v>228</v>
      </c>
      <c r="H409" s="133" t="s">
        <v>474</v>
      </c>
      <c r="I409" s="126">
        <v>2</v>
      </c>
      <c r="J409" s="126">
        <v>0</v>
      </c>
      <c r="K409" s="126">
        <v>1</v>
      </c>
      <c r="L409" s="124">
        <v>1</v>
      </c>
      <c r="M409" s="126">
        <v>1</v>
      </c>
      <c r="N409" s="126">
        <v>1</v>
      </c>
      <c r="O409" s="126">
        <v>1</v>
      </c>
      <c r="P409" s="126"/>
      <c r="Q409" s="126">
        <v>1</v>
      </c>
      <c r="R409" s="126"/>
      <c r="S409" s="126">
        <v>1</v>
      </c>
      <c r="T409" s="124"/>
      <c r="U409" s="126">
        <v>1</v>
      </c>
      <c r="V409" s="126">
        <v>1</v>
      </c>
      <c r="W409" s="126">
        <v>1</v>
      </c>
      <c r="X409" s="126">
        <v>1</v>
      </c>
      <c r="Y409" s="126">
        <v>1</v>
      </c>
      <c r="Z409" s="124">
        <v>0</v>
      </c>
      <c r="AA409" s="126">
        <v>1</v>
      </c>
      <c r="AB409" s="124"/>
      <c r="AC409" s="126">
        <v>1</v>
      </c>
      <c r="AD409" s="124">
        <v>0</v>
      </c>
      <c r="AE409" s="126">
        <v>1</v>
      </c>
      <c r="AF409" s="124">
        <v>0</v>
      </c>
      <c r="AG409" s="126">
        <v>1</v>
      </c>
      <c r="AH409" s="126">
        <v>1</v>
      </c>
      <c r="AI409" s="126"/>
      <c r="AJ409" s="126"/>
      <c r="AK409" s="105">
        <v>3</v>
      </c>
    </row>
    <row r="410" spans="1:37" s="127" customFormat="1" ht="15.75">
      <c r="A410" s="120">
        <v>408</v>
      </c>
      <c r="B410" s="126" t="s">
        <v>453</v>
      </c>
      <c r="C410" s="121" t="s">
        <v>357</v>
      </c>
      <c r="D410" s="122" t="str">
        <f>"9200463"</f>
        <v>9200463</v>
      </c>
      <c r="E410" s="121" t="s">
        <v>468</v>
      </c>
      <c r="F410" s="132" t="s">
        <v>27</v>
      </c>
      <c r="G410" s="122" t="s">
        <v>228</v>
      </c>
      <c r="H410" s="133" t="s">
        <v>241</v>
      </c>
      <c r="I410" s="126">
        <v>1</v>
      </c>
      <c r="J410" s="126">
        <v>0</v>
      </c>
      <c r="K410" s="126">
        <v>1</v>
      </c>
      <c r="L410" s="124">
        <v>1</v>
      </c>
      <c r="M410" s="126">
        <v>1</v>
      </c>
      <c r="N410" s="126">
        <v>1</v>
      </c>
      <c r="O410" s="126">
        <v>1</v>
      </c>
      <c r="P410" s="126"/>
      <c r="Q410" s="126">
        <v>1</v>
      </c>
      <c r="R410" s="126"/>
      <c r="S410" s="126">
        <v>1</v>
      </c>
      <c r="T410" s="124"/>
      <c r="U410" s="126">
        <v>1</v>
      </c>
      <c r="V410" s="126">
        <v>1</v>
      </c>
      <c r="W410" s="126">
        <v>1</v>
      </c>
      <c r="X410" s="126">
        <v>1</v>
      </c>
      <c r="Y410" s="126">
        <v>1</v>
      </c>
      <c r="Z410" s="124">
        <v>0</v>
      </c>
      <c r="AA410" s="126">
        <v>0</v>
      </c>
      <c r="AB410" s="124"/>
      <c r="AC410" s="126">
        <v>0</v>
      </c>
      <c r="AD410" s="124">
        <v>0</v>
      </c>
      <c r="AE410" s="126">
        <v>1</v>
      </c>
      <c r="AF410" s="124">
        <v>0</v>
      </c>
      <c r="AG410" s="126">
        <v>1</v>
      </c>
      <c r="AH410" s="126">
        <v>1</v>
      </c>
      <c r="AI410" s="126"/>
      <c r="AJ410" s="126"/>
      <c r="AK410" s="105">
        <v>13</v>
      </c>
    </row>
    <row r="411" spans="1:37" s="127" customFormat="1" ht="15.75">
      <c r="A411" s="120">
        <v>409</v>
      </c>
      <c r="B411" s="126" t="s">
        <v>453</v>
      </c>
      <c r="C411" s="121" t="s">
        <v>330</v>
      </c>
      <c r="D411" s="122" t="str">
        <f>"9200519"</f>
        <v>9200519</v>
      </c>
      <c r="E411" s="121" t="s">
        <v>468</v>
      </c>
      <c r="F411" s="132" t="s">
        <v>27</v>
      </c>
      <c r="G411" s="122" t="s">
        <v>228</v>
      </c>
      <c r="H411" s="133" t="s">
        <v>497</v>
      </c>
      <c r="I411" s="126">
        <v>1</v>
      </c>
      <c r="J411" s="126">
        <v>0</v>
      </c>
      <c r="K411" s="126">
        <v>1</v>
      </c>
      <c r="L411" s="124">
        <v>1</v>
      </c>
      <c r="M411" s="126">
        <v>1</v>
      </c>
      <c r="N411" s="126">
        <v>1</v>
      </c>
      <c r="O411" s="126">
        <v>0</v>
      </c>
      <c r="P411" s="126"/>
      <c r="Q411" s="126">
        <v>1</v>
      </c>
      <c r="R411" s="126"/>
      <c r="S411" s="126">
        <v>1</v>
      </c>
      <c r="T411" s="124"/>
      <c r="U411" s="126">
        <v>1</v>
      </c>
      <c r="V411" s="126">
        <v>1</v>
      </c>
      <c r="W411" s="126">
        <v>1</v>
      </c>
      <c r="X411" s="126">
        <v>1</v>
      </c>
      <c r="Y411" s="126">
        <v>0</v>
      </c>
      <c r="Z411" s="124">
        <v>0</v>
      </c>
      <c r="AA411" s="126">
        <v>0</v>
      </c>
      <c r="AB411" s="124"/>
      <c r="AC411" s="126">
        <v>0</v>
      </c>
      <c r="AD411" s="124">
        <v>0</v>
      </c>
      <c r="AE411" s="126">
        <v>1</v>
      </c>
      <c r="AF411" s="124">
        <v>0</v>
      </c>
      <c r="AG411" s="126">
        <v>1</v>
      </c>
      <c r="AH411" s="126">
        <v>1</v>
      </c>
      <c r="AI411" s="126"/>
      <c r="AJ411" s="126"/>
      <c r="AK411" s="105"/>
    </row>
    <row r="412" spans="1:37" s="127" customFormat="1" ht="15.75">
      <c r="A412" s="120">
        <v>410</v>
      </c>
      <c r="B412" s="126" t="s">
        <v>453</v>
      </c>
      <c r="C412" s="121" t="s">
        <v>345</v>
      </c>
      <c r="D412" s="122" t="str">
        <f>"9200536"</f>
        <v>9200536</v>
      </c>
      <c r="E412" s="121" t="s">
        <v>468</v>
      </c>
      <c r="F412" s="132" t="s">
        <v>27</v>
      </c>
      <c r="G412" s="122" t="s">
        <v>228</v>
      </c>
      <c r="H412" s="133" t="s">
        <v>477</v>
      </c>
      <c r="I412" s="126">
        <v>1</v>
      </c>
      <c r="J412" s="126">
        <v>0</v>
      </c>
      <c r="K412" s="126">
        <v>1</v>
      </c>
      <c r="L412" s="124">
        <v>1</v>
      </c>
      <c r="M412" s="126">
        <v>1</v>
      </c>
      <c r="N412" s="126">
        <v>1</v>
      </c>
      <c r="O412" s="126">
        <v>0</v>
      </c>
      <c r="P412" s="126"/>
      <c r="Q412" s="126">
        <v>1</v>
      </c>
      <c r="R412" s="126"/>
      <c r="S412" s="126">
        <v>0</v>
      </c>
      <c r="T412" s="124"/>
      <c r="U412" s="126">
        <v>0</v>
      </c>
      <c r="V412" s="126"/>
      <c r="W412" s="126">
        <v>0</v>
      </c>
      <c r="X412" s="126">
        <v>0</v>
      </c>
      <c r="Y412" s="126">
        <v>0</v>
      </c>
      <c r="Z412" s="124">
        <v>0</v>
      </c>
      <c r="AA412" s="126">
        <v>0</v>
      </c>
      <c r="AB412" s="124"/>
      <c r="AC412" s="126">
        <v>0</v>
      </c>
      <c r="AD412" s="124">
        <v>0</v>
      </c>
      <c r="AE412" s="126">
        <v>1</v>
      </c>
      <c r="AF412" s="124">
        <v>0</v>
      </c>
      <c r="AG412" s="126">
        <v>1</v>
      </c>
      <c r="AH412" s="126">
        <v>1</v>
      </c>
      <c r="AI412" s="126"/>
      <c r="AJ412" s="126"/>
      <c r="AK412" s="105">
        <v>4</v>
      </c>
    </row>
    <row r="413" spans="1:37" s="127" customFormat="1" ht="15.75">
      <c r="A413" s="120">
        <v>411</v>
      </c>
      <c r="B413" s="126" t="s">
        <v>453</v>
      </c>
      <c r="C413" s="121" t="s">
        <v>338</v>
      </c>
      <c r="D413" s="122" t="str">
        <f>"9200597"</f>
        <v>9200597</v>
      </c>
      <c r="E413" s="121" t="s">
        <v>468</v>
      </c>
      <c r="F413" s="132" t="s">
        <v>27</v>
      </c>
      <c r="G413" s="122" t="s">
        <v>228</v>
      </c>
      <c r="H413" s="133" t="s">
        <v>491</v>
      </c>
      <c r="I413" s="126">
        <v>1</v>
      </c>
      <c r="J413" s="126">
        <v>0</v>
      </c>
      <c r="K413" s="126">
        <v>2</v>
      </c>
      <c r="L413" s="124">
        <v>1</v>
      </c>
      <c r="M413" s="126">
        <v>1</v>
      </c>
      <c r="N413" s="126">
        <v>1</v>
      </c>
      <c r="O413" s="126">
        <v>1</v>
      </c>
      <c r="P413" s="126"/>
      <c r="Q413" s="126">
        <v>0</v>
      </c>
      <c r="R413" s="126"/>
      <c r="S413" s="126">
        <v>1</v>
      </c>
      <c r="T413" s="124"/>
      <c r="U413" s="126">
        <v>1</v>
      </c>
      <c r="V413" s="126">
        <v>1</v>
      </c>
      <c r="W413" s="126">
        <v>0</v>
      </c>
      <c r="X413" s="126">
        <v>0</v>
      </c>
      <c r="Y413" s="126">
        <v>0</v>
      </c>
      <c r="Z413" s="124">
        <v>0</v>
      </c>
      <c r="AA413" s="126">
        <v>0</v>
      </c>
      <c r="AB413" s="124"/>
      <c r="AC413" s="126">
        <v>0</v>
      </c>
      <c r="AD413" s="124">
        <v>0</v>
      </c>
      <c r="AE413" s="126">
        <v>1</v>
      </c>
      <c r="AF413" s="124">
        <v>0</v>
      </c>
      <c r="AG413" s="126">
        <v>1</v>
      </c>
      <c r="AH413" s="126">
        <v>1</v>
      </c>
      <c r="AI413" s="126"/>
      <c r="AJ413" s="126"/>
      <c r="AK413" s="105">
        <v>29</v>
      </c>
    </row>
    <row r="414" spans="1:37" s="127" customFormat="1" ht="15.75">
      <c r="A414" s="120">
        <v>412</v>
      </c>
      <c r="B414" s="126" t="s">
        <v>453</v>
      </c>
      <c r="C414" s="121" t="s">
        <v>320</v>
      </c>
      <c r="D414" s="122" t="str">
        <f>"9521645"</f>
        <v>9521645</v>
      </c>
      <c r="E414" s="121" t="s">
        <v>468</v>
      </c>
      <c r="F414" s="132" t="s">
        <v>27</v>
      </c>
      <c r="G414" s="122" t="s">
        <v>228</v>
      </c>
      <c r="H414" s="133" t="s">
        <v>236</v>
      </c>
      <c r="I414" s="126">
        <v>2</v>
      </c>
      <c r="J414" s="126">
        <v>0</v>
      </c>
      <c r="K414" s="126">
        <v>1</v>
      </c>
      <c r="L414" s="124">
        <v>1</v>
      </c>
      <c r="M414" s="126">
        <v>0</v>
      </c>
      <c r="N414" s="126">
        <v>0</v>
      </c>
      <c r="O414" s="126">
        <v>1</v>
      </c>
      <c r="P414" s="126"/>
      <c r="Q414" s="126">
        <v>1</v>
      </c>
      <c r="R414" s="126"/>
      <c r="S414" s="126">
        <v>1</v>
      </c>
      <c r="T414" s="124"/>
      <c r="U414" s="126">
        <v>0</v>
      </c>
      <c r="V414" s="126">
        <v>1</v>
      </c>
      <c r="W414" s="126">
        <v>1</v>
      </c>
      <c r="X414" s="126">
        <v>1</v>
      </c>
      <c r="Y414" s="126">
        <v>1</v>
      </c>
      <c r="Z414" s="124">
        <v>0</v>
      </c>
      <c r="AA414" s="126">
        <v>0</v>
      </c>
      <c r="AB414" s="124"/>
      <c r="AC414" s="126">
        <v>0</v>
      </c>
      <c r="AD414" s="124">
        <v>0</v>
      </c>
      <c r="AE414" s="126">
        <v>2</v>
      </c>
      <c r="AF414" s="124">
        <v>0</v>
      </c>
      <c r="AG414" s="126">
        <v>1</v>
      </c>
      <c r="AH414" s="126">
        <v>1</v>
      </c>
      <c r="AI414" s="126"/>
      <c r="AJ414" s="126"/>
      <c r="AK414" s="105">
        <v>42</v>
      </c>
    </row>
    <row r="415" spans="1:37" s="127" customFormat="1" ht="15.75">
      <c r="A415" s="120">
        <v>413</v>
      </c>
      <c r="B415" s="126" t="s">
        <v>453</v>
      </c>
      <c r="C415" s="121" t="s">
        <v>315</v>
      </c>
      <c r="D415" s="122" t="str">
        <f>"9200017"</f>
        <v>9200017</v>
      </c>
      <c r="E415" s="121" t="s">
        <v>468</v>
      </c>
      <c r="F415" s="132" t="s">
        <v>27</v>
      </c>
      <c r="G415" s="122" t="s">
        <v>224</v>
      </c>
      <c r="H415" s="133" t="s">
        <v>222</v>
      </c>
      <c r="I415" s="126">
        <v>2</v>
      </c>
      <c r="J415" s="126">
        <v>0</v>
      </c>
      <c r="K415" s="126">
        <v>1</v>
      </c>
      <c r="L415" s="124">
        <v>1</v>
      </c>
      <c r="M415" s="126">
        <v>0</v>
      </c>
      <c r="N415" s="126">
        <v>0</v>
      </c>
      <c r="O415" s="126">
        <v>3</v>
      </c>
      <c r="P415" s="126"/>
      <c r="Q415" s="126">
        <v>0</v>
      </c>
      <c r="R415" s="126"/>
      <c r="S415" s="126">
        <v>0</v>
      </c>
      <c r="T415" s="124"/>
      <c r="U415" s="126">
        <v>2</v>
      </c>
      <c r="V415" s="126">
        <v>1</v>
      </c>
      <c r="W415" s="126">
        <v>2</v>
      </c>
      <c r="X415" s="126">
        <v>2</v>
      </c>
      <c r="Y415" s="126">
        <v>0</v>
      </c>
      <c r="Z415" s="124">
        <v>0</v>
      </c>
      <c r="AA415" s="126">
        <v>0</v>
      </c>
      <c r="AB415" s="124"/>
      <c r="AC415" s="126">
        <v>0</v>
      </c>
      <c r="AD415" s="124">
        <v>0</v>
      </c>
      <c r="AE415" s="126">
        <v>0</v>
      </c>
      <c r="AF415" s="124">
        <v>0</v>
      </c>
      <c r="AG415" s="126">
        <v>3</v>
      </c>
      <c r="AH415" s="126">
        <v>3</v>
      </c>
      <c r="AI415" s="126"/>
      <c r="AJ415" s="126"/>
      <c r="AK415" s="105">
        <v>40</v>
      </c>
    </row>
    <row r="416" spans="1:37" s="127" customFormat="1" ht="15.75">
      <c r="A416" s="120">
        <v>414</v>
      </c>
      <c r="B416" s="126" t="s">
        <v>453</v>
      </c>
      <c r="C416" s="121" t="s">
        <v>356</v>
      </c>
      <c r="D416" s="122" t="str">
        <f>"9200048"</f>
        <v>9200048</v>
      </c>
      <c r="E416" s="121" t="s">
        <v>468</v>
      </c>
      <c r="F416" s="132" t="s">
        <v>27</v>
      </c>
      <c r="G416" s="122" t="s">
        <v>224</v>
      </c>
      <c r="H416" s="133" t="s">
        <v>238</v>
      </c>
      <c r="I416" s="126">
        <v>0</v>
      </c>
      <c r="J416" s="126">
        <v>0</v>
      </c>
      <c r="K416" s="126">
        <v>0</v>
      </c>
      <c r="L416" s="124"/>
      <c r="M416" s="126">
        <v>0</v>
      </c>
      <c r="N416" s="126">
        <v>0</v>
      </c>
      <c r="O416" s="126">
        <v>1</v>
      </c>
      <c r="P416" s="126">
        <v>1</v>
      </c>
      <c r="Q416" s="126">
        <v>0</v>
      </c>
      <c r="R416" s="126"/>
      <c r="S416" s="126">
        <v>0</v>
      </c>
      <c r="T416" s="124"/>
      <c r="U416" s="126">
        <v>1</v>
      </c>
      <c r="V416" s="126">
        <v>1</v>
      </c>
      <c r="W416" s="126">
        <v>0</v>
      </c>
      <c r="X416" s="126">
        <v>0</v>
      </c>
      <c r="Y416" s="126">
        <v>0</v>
      </c>
      <c r="Z416" s="124">
        <v>0</v>
      </c>
      <c r="AA416" s="126">
        <v>1</v>
      </c>
      <c r="AB416" s="124"/>
      <c r="AC416" s="126">
        <v>0</v>
      </c>
      <c r="AD416" s="124">
        <v>0</v>
      </c>
      <c r="AE416" s="126">
        <v>1</v>
      </c>
      <c r="AF416" s="124">
        <v>0</v>
      </c>
      <c r="AG416" s="126">
        <v>1</v>
      </c>
      <c r="AH416" s="126">
        <v>1</v>
      </c>
      <c r="AI416" s="126"/>
      <c r="AJ416" s="126"/>
      <c r="AK416" s="105">
        <v>8</v>
      </c>
    </row>
    <row r="417" spans="1:37" s="127" customFormat="1" ht="15.75">
      <c r="A417" s="120">
        <v>415</v>
      </c>
      <c r="B417" s="126" t="s">
        <v>453</v>
      </c>
      <c r="C417" s="121" t="s">
        <v>372</v>
      </c>
      <c r="D417" s="122" t="str">
        <f>"9200066"</f>
        <v>9200066</v>
      </c>
      <c r="E417" s="121" t="s">
        <v>468</v>
      </c>
      <c r="F417" s="132" t="s">
        <v>27</v>
      </c>
      <c r="G417" s="122" t="s">
        <v>224</v>
      </c>
      <c r="H417" s="133" t="s">
        <v>332</v>
      </c>
      <c r="I417" s="126">
        <v>1</v>
      </c>
      <c r="J417" s="126">
        <v>0</v>
      </c>
      <c r="K417" s="126">
        <v>1</v>
      </c>
      <c r="L417" s="124">
        <v>1</v>
      </c>
      <c r="M417" s="126">
        <v>1</v>
      </c>
      <c r="N417" s="126">
        <v>1</v>
      </c>
      <c r="O417" s="126">
        <v>2</v>
      </c>
      <c r="P417" s="126"/>
      <c r="Q417" s="126">
        <v>0</v>
      </c>
      <c r="R417" s="126"/>
      <c r="S417" s="126">
        <v>0</v>
      </c>
      <c r="T417" s="124"/>
      <c r="U417" s="126">
        <v>1</v>
      </c>
      <c r="V417" s="126">
        <v>1</v>
      </c>
      <c r="W417" s="126">
        <v>0</v>
      </c>
      <c r="X417" s="126">
        <v>0</v>
      </c>
      <c r="Y417" s="126">
        <v>0</v>
      </c>
      <c r="Z417" s="124">
        <v>0</v>
      </c>
      <c r="AA417" s="126">
        <v>0</v>
      </c>
      <c r="AB417" s="124"/>
      <c r="AC417" s="126">
        <v>0</v>
      </c>
      <c r="AD417" s="124">
        <v>0</v>
      </c>
      <c r="AE417" s="126">
        <v>2</v>
      </c>
      <c r="AF417" s="124">
        <v>0</v>
      </c>
      <c r="AG417" s="126">
        <v>2</v>
      </c>
      <c r="AH417" s="126">
        <v>2</v>
      </c>
      <c r="AI417" s="126"/>
      <c r="AJ417" s="126"/>
      <c r="AK417" s="105">
        <v>39</v>
      </c>
    </row>
    <row r="418" spans="1:37" s="127" customFormat="1" ht="15.75">
      <c r="A418" s="120">
        <v>416</v>
      </c>
      <c r="B418" s="126" t="s">
        <v>453</v>
      </c>
      <c r="C418" s="121" t="s">
        <v>296</v>
      </c>
      <c r="D418" s="122" t="str">
        <f>"9200099"</f>
        <v>9200099</v>
      </c>
      <c r="E418" s="121" t="s">
        <v>468</v>
      </c>
      <c r="F418" s="132" t="s">
        <v>27</v>
      </c>
      <c r="G418" s="122" t="s">
        <v>224</v>
      </c>
      <c r="H418" s="133" t="s">
        <v>27</v>
      </c>
      <c r="I418" s="126">
        <v>3</v>
      </c>
      <c r="J418" s="126">
        <v>1</v>
      </c>
      <c r="K418" s="126">
        <v>2</v>
      </c>
      <c r="L418" s="124">
        <v>1</v>
      </c>
      <c r="M418" s="126">
        <v>1</v>
      </c>
      <c r="N418" s="126">
        <v>1</v>
      </c>
      <c r="O418" s="126">
        <v>1</v>
      </c>
      <c r="P418" s="126"/>
      <c r="Q418" s="126">
        <v>1</v>
      </c>
      <c r="R418" s="126"/>
      <c r="S418" s="126">
        <v>1</v>
      </c>
      <c r="T418" s="124"/>
      <c r="U418" s="126">
        <v>0</v>
      </c>
      <c r="V418" s="126">
        <v>1</v>
      </c>
      <c r="W418" s="126">
        <v>2</v>
      </c>
      <c r="X418" s="126">
        <v>2</v>
      </c>
      <c r="Y418" s="126">
        <v>1</v>
      </c>
      <c r="Z418" s="124">
        <v>0</v>
      </c>
      <c r="AA418" s="126">
        <v>0</v>
      </c>
      <c r="AB418" s="124"/>
      <c r="AC418" s="126">
        <v>0</v>
      </c>
      <c r="AD418" s="124">
        <v>0</v>
      </c>
      <c r="AE418" s="126">
        <v>2</v>
      </c>
      <c r="AF418" s="124">
        <v>0</v>
      </c>
      <c r="AG418" s="126">
        <v>3</v>
      </c>
      <c r="AH418" s="126">
        <v>3</v>
      </c>
      <c r="AI418" s="126"/>
      <c r="AJ418" s="126"/>
      <c r="AK418" s="105">
        <v>33</v>
      </c>
    </row>
    <row r="419" spans="1:37" s="127" customFormat="1" ht="15.75">
      <c r="A419" s="120">
        <v>417</v>
      </c>
      <c r="B419" s="126" t="s">
        <v>453</v>
      </c>
      <c r="C419" s="121" t="s">
        <v>293</v>
      </c>
      <c r="D419" s="122" t="str">
        <f>"9200103"</f>
        <v>9200103</v>
      </c>
      <c r="E419" s="121" t="s">
        <v>468</v>
      </c>
      <c r="F419" s="132" t="s">
        <v>27</v>
      </c>
      <c r="G419" s="122" t="s">
        <v>224</v>
      </c>
      <c r="H419" s="133" t="s">
        <v>27</v>
      </c>
      <c r="I419" s="126">
        <v>1</v>
      </c>
      <c r="J419" s="126">
        <v>0</v>
      </c>
      <c r="K419" s="126">
        <v>1</v>
      </c>
      <c r="L419" s="124">
        <v>1</v>
      </c>
      <c r="M419" s="126">
        <v>1</v>
      </c>
      <c r="N419" s="126">
        <v>1</v>
      </c>
      <c r="O419" s="126">
        <v>1</v>
      </c>
      <c r="P419" s="126"/>
      <c r="Q419" s="126">
        <v>1</v>
      </c>
      <c r="R419" s="126"/>
      <c r="S419" s="126">
        <v>1</v>
      </c>
      <c r="T419" s="124"/>
      <c r="U419" s="126">
        <v>1</v>
      </c>
      <c r="V419" s="126">
        <v>1</v>
      </c>
      <c r="W419" s="126">
        <v>0</v>
      </c>
      <c r="X419" s="126">
        <v>0</v>
      </c>
      <c r="Y419" s="126">
        <v>1</v>
      </c>
      <c r="Z419" s="124">
        <v>0</v>
      </c>
      <c r="AA419" s="126">
        <v>0</v>
      </c>
      <c r="AB419" s="124"/>
      <c r="AC419" s="126">
        <v>0</v>
      </c>
      <c r="AD419" s="124">
        <v>0</v>
      </c>
      <c r="AE419" s="126">
        <v>2</v>
      </c>
      <c r="AF419" s="124">
        <v>0</v>
      </c>
      <c r="AG419" s="126">
        <v>3</v>
      </c>
      <c r="AH419" s="126">
        <v>3</v>
      </c>
      <c r="AI419" s="126"/>
      <c r="AJ419" s="126"/>
      <c r="AK419" s="105">
        <v>49</v>
      </c>
    </row>
    <row r="420" spans="1:37" s="127" customFormat="1" ht="15.75">
      <c r="A420" s="120">
        <v>418</v>
      </c>
      <c r="B420" s="126" t="s">
        <v>453</v>
      </c>
      <c r="C420" s="121" t="s">
        <v>343</v>
      </c>
      <c r="D420" s="122" t="str">
        <f>"9200120"</f>
        <v>9200120</v>
      </c>
      <c r="E420" s="121" t="s">
        <v>468</v>
      </c>
      <c r="F420" s="132" t="s">
        <v>27</v>
      </c>
      <c r="G420" s="122" t="s">
        <v>224</v>
      </c>
      <c r="H420" s="133" t="s">
        <v>475</v>
      </c>
      <c r="I420" s="126">
        <v>0</v>
      </c>
      <c r="J420" s="126">
        <v>0</v>
      </c>
      <c r="K420" s="126">
        <v>1</v>
      </c>
      <c r="L420" s="124">
        <v>1</v>
      </c>
      <c r="M420" s="126">
        <v>0</v>
      </c>
      <c r="N420" s="126">
        <v>0</v>
      </c>
      <c r="O420" s="126">
        <v>0</v>
      </c>
      <c r="P420" s="126"/>
      <c r="Q420" s="126">
        <v>1</v>
      </c>
      <c r="R420" s="126"/>
      <c r="S420" s="126">
        <v>1</v>
      </c>
      <c r="T420" s="124"/>
      <c r="U420" s="126">
        <v>1</v>
      </c>
      <c r="V420" s="126">
        <v>1</v>
      </c>
      <c r="W420" s="126">
        <v>1</v>
      </c>
      <c r="X420" s="126">
        <v>1</v>
      </c>
      <c r="Y420" s="126">
        <v>1</v>
      </c>
      <c r="Z420" s="124">
        <v>0</v>
      </c>
      <c r="AA420" s="126">
        <v>0</v>
      </c>
      <c r="AB420" s="124"/>
      <c r="AC420" s="126">
        <v>0</v>
      </c>
      <c r="AD420" s="124">
        <v>0</v>
      </c>
      <c r="AE420" s="126">
        <v>1</v>
      </c>
      <c r="AF420" s="124">
        <v>0</v>
      </c>
      <c r="AG420" s="126">
        <v>1</v>
      </c>
      <c r="AH420" s="126">
        <v>1</v>
      </c>
      <c r="AI420" s="126"/>
      <c r="AJ420" s="126"/>
      <c r="AK420" s="105"/>
    </row>
    <row r="421" spans="1:37" s="127" customFormat="1" ht="15.75">
      <c r="A421" s="120">
        <v>419</v>
      </c>
      <c r="B421" s="126" t="s">
        <v>453</v>
      </c>
      <c r="C421" s="121" t="s">
        <v>321</v>
      </c>
      <c r="D421" s="122" t="str">
        <f>"9200129"</f>
        <v>9200129</v>
      </c>
      <c r="E421" s="121" t="s">
        <v>468</v>
      </c>
      <c r="F421" s="132" t="s">
        <v>27</v>
      </c>
      <c r="G421" s="122" t="s">
        <v>224</v>
      </c>
      <c r="H421" s="133" t="s">
        <v>240</v>
      </c>
      <c r="I421" s="126"/>
      <c r="J421" s="126">
        <v>0</v>
      </c>
      <c r="K421" s="126"/>
      <c r="L421" s="124"/>
      <c r="M421" s="126"/>
      <c r="N421" s="126">
        <v>0</v>
      </c>
      <c r="O421" s="126"/>
      <c r="P421" s="126"/>
      <c r="Q421" s="126"/>
      <c r="R421" s="126"/>
      <c r="S421" s="126"/>
      <c r="T421" s="124"/>
      <c r="U421" s="126"/>
      <c r="V421" s="126"/>
      <c r="W421" s="126"/>
      <c r="X421" s="126"/>
      <c r="Y421" s="126"/>
      <c r="Z421" s="124">
        <v>0</v>
      </c>
      <c r="AA421" s="126"/>
      <c r="AB421" s="124"/>
      <c r="AC421" s="126"/>
      <c r="AD421" s="124">
        <v>0</v>
      </c>
      <c r="AE421" s="126"/>
      <c r="AF421" s="124">
        <v>0</v>
      </c>
      <c r="AG421" s="126"/>
      <c r="AH421" s="126"/>
      <c r="AI421" s="126"/>
      <c r="AJ421" s="126"/>
      <c r="AK421" s="105">
        <v>44</v>
      </c>
    </row>
    <row r="422" spans="1:37" s="127" customFormat="1" ht="15.75">
      <c r="A422" s="120">
        <v>420</v>
      </c>
      <c r="B422" s="126" t="s">
        <v>453</v>
      </c>
      <c r="C422" s="121" t="s">
        <v>353</v>
      </c>
      <c r="D422" s="122" t="str">
        <f>"9200134"</f>
        <v>9200134</v>
      </c>
      <c r="E422" s="121" t="s">
        <v>468</v>
      </c>
      <c r="F422" s="132" t="s">
        <v>27</v>
      </c>
      <c r="G422" s="122" t="s">
        <v>224</v>
      </c>
      <c r="H422" s="133" t="s">
        <v>237</v>
      </c>
      <c r="I422" s="126">
        <v>2</v>
      </c>
      <c r="J422" s="126">
        <v>0</v>
      </c>
      <c r="K422" s="126">
        <v>2</v>
      </c>
      <c r="L422" s="124">
        <v>1</v>
      </c>
      <c r="M422" s="126">
        <v>2</v>
      </c>
      <c r="N422" s="126">
        <v>1</v>
      </c>
      <c r="O422" s="126">
        <v>2</v>
      </c>
      <c r="P422" s="126"/>
      <c r="Q422" s="126">
        <v>2</v>
      </c>
      <c r="R422" s="126"/>
      <c r="S422" s="126">
        <v>1</v>
      </c>
      <c r="T422" s="124"/>
      <c r="U422" s="126">
        <v>1</v>
      </c>
      <c r="V422" s="126">
        <v>1</v>
      </c>
      <c r="W422" s="126">
        <v>1</v>
      </c>
      <c r="X422" s="126">
        <v>1</v>
      </c>
      <c r="Y422" s="126">
        <v>1</v>
      </c>
      <c r="Z422" s="124">
        <v>0</v>
      </c>
      <c r="AA422" s="126">
        <v>0</v>
      </c>
      <c r="AB422" s="124"/>
      <c r="AC422" s="126">
        <v>0</v>
      </c>
      <c r="AD422" s="124">
        <v>0</v>
      </c>
      <c r="AE422" s="126">
        <v>2</v>
      </c>
      <c r="AF422" s="124">
        <v>0</v>
      </c>
      <c r="AG422" s="126">
        <v>2</v>
      </c>
      <c r="AH422" s="126">
        <v>2</v>
      </c>
      <c r="AI422" s="126"/>
      <c r="AJ422" s="126"/>
      <c r="AK422" s="105">
        <v>9</v>
      </c>
    </row>
    <row r="423" spans="1:37" s="127" customFormat="1" ht="15.75">
      <c r="A423" s="120">
        <v>421</v>
      </c>
      <c r="B423" s="126" t="s">
        <v>453</v>
      </c>
      <c r="C423" s="121" t="s">
        <v>363</v>
      </c>
      <c r="D423" s="122" t="str">
        <f>"9200151"</f>
        <v>9200151</v>
      </c>
      <c r="E423" s="121" t="s">
        <v>468</v>
      </c>
      <c r="F423" s="132" t="s">
        <v>27</v>
      </c>
      <c r="G423" s="122" t="s">
        <v>224</v>
      </c>
      <c r="H423" s="133" t="s">
        <v>493</v>
      </c>
      <c r="I423" s="126"/>
      <c r="J423" s="126">
        <v>0</v>
      </c>
      <c r="K423" s="126"/>
      <c r="L423" s="124"/>
      <c r="M423" s="126"/>
      <c r="N423" s="126">
        <v>0</v>
      </c>
      <c r="O423" s="126"/>
      <c r="P423" s="126"/>
      <c r="Q423" s="126"/>
      <c r="R423" s="126"/>
      <c r="S423" s="126"/>
      <c r="T423" s="124"/>
      <c r="U423" s="126"/>
      <c r="V423" s="126"/>
      <c r="W423" s="126"/>
      <c r="X423" s="126"/>
      <c r="Y423" s="126"/>
      <c r="Z423" s="124">
        <v>0</v>
      </c>
      <c r="AA423" s="126"/>
      <c r="AB423" s="124"/>
      <c r="AC423" s="126"/>
      <c r="AD423" s="124">
        <v>0</v>
      </c>
      <c r="AE423" s="126"/>
      <c r="AF423" s="124">
        <v>0</v>
      </c>
      <c r="AG423" s="126"/>
      <c r="AH423" s="126"/>
      <c r="AI423" s="126"/>
      <c r="AJ423" s="126"/>
      <c r="AK423" s="105">
        <v>4</v>
      </c>
    </row>
    <row r="424" spans="1:37" s="127" customFormat="1" ht="15.75">
      <c r="A424" s="120">
        <v>422</v>
      </c>
      <c r="B424" s="126" t="s">
        <v>453</v>
      </c>
      <c r="C424" s="121" t="s">
        <v>366</v>
      </c>
      <c r="D424" s="122" t="str">
        <f>"9200156"</f>
        <v>9200156</v>
      </c>
      <c r="E424" s="121" t="s">
        <v>468</v>
      </c>
      <c r="F424" s="132" t="s">
        <v>27</v>
      </c>
      <c r="G424" s="122" t="s">
        <v>224</v>
      </c>
      <c r="H424" s="133" t="s">
        <v>486</v>
      </c>
      <c r="I424" s="126">
        <v>0</v>
      </c>
      <c r="J424" s="126">
        <v>0</v>
      </c>
      <c r="K424" s="126">
        <v>1</v>
      </c>
      <c r="L424" s="124">
        <v>1</v>
      </c>
      <c r="M424" s="126">
        <v>1</v>
      </c>
      <c r="N424" s="126">
        <v>1</v>
      </c>
      <c r="O424" s="126">
        <v>0</v>
      </c>
      <c r="P424" s="126"/>
      <c r="Q424" s="126">
        <v>1</v>
      </c>
      <c r="R424" s="126"/>
      <c r="S424" s="126">
        <v>0</v>
      </c>
      <c r="T424" s="124"/>
      <c r="U424" s="126">
        <v>0</v>
      </c>
      <c r="V424" s="126">
        <v>1</v>
      </c>
      <c r="W424" s="126">
        <v>0</v>
      </c>
      <c r="X424" s="126">
        <v>0</v>
      </c>
      <c r="Y424" s="126">
        <v>0</v>
      </c>
      <c r="Z424" s="124">
        <v>0</v>
      </c>
      <c r="AA424" s="126">
        <v>0</v>
      </c>
      <c r="AB424" s="124"/>
      <c r="AC424" s="126">
        <v>0</v>
      </c>
      <c r="AD424" s="124">
        <v>0</v>
      </c>
      <c r="AE424" s="126">
        <v>0</v>
      </c>
      <c r="AF424" s="124">
        <v>0</v>
      </c>
      <c r="AG424" s="126">
        <v>1</v>
      </c>
      <c r="AH424" s="126">
        <v>1</v>
      </c>
      <c r="AI424" s="126"/>
      <c r="AJ424" s="126"/>
      <c r="AK424" s="105">
        <v>3</v>
      </c>
    </row>
    <row r="425" spans="1:37" s="127" customFormat="1" ht="15.75">
      <c r="A425" s="120">
        <v>423</v>
      </c>
      <c r="B425" s="126" t="s">
        <v>453</v>
      </c>
      <c r="C425" s="121" t="s">
        <v>294</v>
      </c>
      <c r="D425" s="122" t="str">
        <f>"9200192"</f>
        <v>9200192</v>
      </c>
      <c r="E425" s="121" t="s">
        <v>468</v>
      </c>
      <c r="F425" s="132" t="s">
        <v>27</v>
      </c>
      <c r="G425" s="122" t="s">
        <v>224</v>
      </c>
      <c r="H425" s="133" t="s">
        <v>27</v>
      </c>
      <c r="I425" s="126">
        <v>2</v>
      </c>
      <c r="J425" s="126">
        <v>1</v>
      </c>
      <c r="K425" s="126">
        <v>2</v>
      </c>
      <c r="L425" s="124">
        <v>1</v>
      </c>
      <c r="M425" s="126">
        <v>1</v>
      </c>
      <c r="N425" s="126">
        <v>1</v>
      </c>
      <c r="O425" s="126">
        <v>1</v>
      </c>
      <c r="P425" s="126"/>
      <c r="Q425" s="126">
        <v>1</v>
      </c>
      <c r="R425" s="126"/>
      <c r="S425" s="126">
        <v>1</v>
      </c>
      <c r="T425" s="124"/>
      <c r="U425" s="126">
        <v>1</v>
      </c>
      <c r="V425" s="126">
        <v>1</v>
      </c>
      <c r="W425" s="126">
        <v>1</v>
      </c>
      <c r="X425" s="126">
        <v>1</v>
      </c>
      <c r="Y425" s="126">
        <v>1</v>
      </c>
      <c r="Z425" s="124">
        <v>0</v>
      </c>
      <c r="AA425" s="126">
        <v>1</v>
      </c>
      <c r="AB425" s="124"/>
      <c r="AC425" s="126">
        <v>0</v>
      </c>
      <c r="AD425" s="124">
        <v>0</v>
      </c>
      <c r="AE425" s="126">
        <v>0</v>
      </c>
      <c r="AF425" s="124">
        <v>0</v>
      </c>
      <c r="AG425" s="126">
        <v>2</v>
      </c>
      <c r="AH425" s="126">
        <v>2</v>
      </c>
      <c r="AI425" s="126"/>
      <c r="AJ425" s="126"/>
      <c r="AK425" s="105">
        <v>31</v>
      </c>
    </row>
    <row r="426" spans="1:37" s="127" customFormat="1" ht="15.75">
      <c r="A426" s="120">
        <v>424</v>
      </c>
      <c r="B426" s="126" t="s">
        <v>453</v>
      </c>
      <c r="C426" s="121" t="s">
        <v>326</v>
      </c>
      <c r="D426" s="122" t="str">
        <f>"9200251"</f>
        <v>9200251</v>
      </c>
      <c r="E426" s="121" t="s">
        <v>468</v>
      </c>
      <c r="F426" s="132" t="s">
        <v>27</v>
      </c>
      <c r="G426" s="122" t="s">
        <v>224</v>
      </c>
      <c r="H426" s="133" t="s">
        <v>469</v>
      </c>
      <c r="I426" s="126">
        <v>0</v>
      </c>
      <c r="J426" s="126">
        <v>0</v>
      </c>
      <c r="K426" s="126">
        <v>1</v>
      </c>
      <c r="L426" s="124">
        <v>1</v>
      </c>
      <c r="M426" s="126">
        <v>1</v>
      </c>
      <c r="N426" s="126">
        <v>1</v>
      </c>
      <c r="O426" s="126">
        <v>0</v>
      </c>
      <c r="P426" s="126"/>
      <c r="Q426" s="126">
        <v>0</v>
      </c>
      <c r="R426" s="126"/>
      <c r="S426" s="126">
        <v>1</v>
      </c>
      <c r="T426" s="124"/>
      <c r="U426" s="126">
        <v>0</v>
      </c>
      <c r="V426" s="126">
        <v>1</v>
      </c>
      <c r="W426" s="126">
        <v>1</v>
      </c>
      <c r="X426" s="126">
        <v>1</v>
      </c>
      <c r="Y426" s="126">
        <v>1</v>
      </c>
      <c r="Z426" s="124">
        <v>0</v>
      </c>
      <c r="AA426" s="126">
        <v>0</v>
      </c>
      <c r="AB426" s="124"/>
      <c r="AC426" s="126">
        <v>0</v>
      </c>
      <c r="AD426" s="124">
        <v>0</v>
      </c>
      <c r="AE426" s="126">
        <v>1</v>
      </c>
      <c r="AF426" s="124">
        <v>0</v>
      </c>
      <c r="AG426" s="126">
        <v>1</v>
      </c>
      <c r="AH426" s="126">
        <v>1</v>
      </c>
      <c r="AI426" s="126"/>
      <c r="AJ426" s="126"/>
      <c r="AK426" s="105">
        <v>7</v>
      </c>
    </row>
    <row r="427" spans="1:37" s="127" customFormat="1" ht="15.75">
      <c r="A427" s="120">
        <v>425</v>
      </c>
      <c r="B427" s="126" t="s">
        <v>453</v>
      </c>
      <c r="C427" s="121" t="s">
        <v>371</v>
      </c>
      <c r="D427" s="122" t="str">
        <f>"9200262"</f>
        <v>9200262</v>
      </c>
      <c r="E427" s="121" t="s">
        <v>468</v>
      </c>
      <c r="F427" s="132" t="s">
        <v>27</v>
      </c>
      <c r="G427" s="122" t="s">
        <v>224</v>
      </c>
      <c r="H427" s="133" t="s">
        <v>239</v>
      </c>
      <c r="I427" s="126">
        <v>1</v>
      </c>
      <c r="J427" s="126">
        <v>0</v>
      </c>
      <c r="K427" s="126">
        <v>2</v>
      </c>
      <c r="L427" s="124">
        <v>1</v>
      </c>
      <c r="M427" s="126">
        <v>2</v>
      </c>
      <c r="N427" s="126">
        <v>1</v>
      </c>
      <c r="O427" s="126">
        <v>2</v>
      </c>
      <c r="P427" s="126"/>
      <c r="Q427" s="126">
        <v>1</v>
      </c>
      <c r="R427" s="126"/>
      <c r="S427" s="126">
        <v>1</v>
      </c>
      <c r="T427" s="124"/>
      <c r="U427" s="126">
        <v>1</v>
      </c>
      <c r="V427" s="126">
        <v>1</v>
      </c>
      <c r="W427" s="126">
        <v>1</v>
      </c>
      <c r="X427" s="126">
        <v>1</v>
      </c>
      <c r="Y427" s="126">
        <v>1</v>
      </c>
      <c r="Z427" s="124">
        <v>0</v>
      </c>
      <c r="AA427" s="126">
        <v>0</v>
      </c>
      <c r="AB427" s="124"/>
      <c r="AC427" s="126">
        <v>0</v>
      </c>
      <c r="AD427" s="124">
        <v>0</v>
      </c>
      <c r="AE427" s="126">
        <v>2</v>
      </c>
      <c r="AF427" s="124">
        <v>0</v>
      </c>
      <c r="AG427" s="126">
        <v>2</v>
      </c>
      <c r="AH427" s="126">
        <v>2</v>
      </c>
      <c r="AI427" s="126"/>
      <c r="AJ427" s="126"/>
      <c r="AK427" s="105">
        <v>12</v>
      </c>
    </row>
    <row r="428" spans="1:37" s="127" customFormat="1" ht="15.75">
      <c r="A428" s="120">
        <v>426</v>
      </c>
      <c r="B428" s="126" t="s">
        <v>453</v>
      </c>
      <c r="C428" s="121" t="s">
        <v>297</v>
      </c>
      <c r="D428" s="122" t="str">
        <f>"9200422"</f>
        <v>9200422</v>
      </c>
      <c r="E428" s="121" t="s">
        <v>468</v>
      </c>
      <c r="F428" s="132" t="s">
        <v>27</v>
      </c>
      <c r="G428" s="122" t="s">
        <v>224</v>
      </c>
      <c r="H428" s="133" t="s">
        <v>27</v>
      </c>
      <c r="I428" s="126">
        <v>4</v>
      </c>
      <c r="J428" s="126">
        <v>1</v>
      </c>
      <c r="K428" s="126">
        <v>4</v>
      </c>
      <c r="L428" s="124">
        <v>1</v>
      </c>
      <c r="M428" s="126">
        <v>2</v>
      </c>
      <c r="N428" s="126">
        <v>1</v>
      </c>
      <c r="O428" s="126">
        <v>1</v>
      </c>
      <c r="P428" s="126"/>
      <c r="Q428" s="126">
        <v>1</v>
      </c>
      <c r="R428" s="126"/>
      <c r="S428" s="126">
        <v>0</v>
      </c>
      <c r="T428" s="124"/>
      <c r="U428" s="126">
        <v>1</v>
      </c>
      <c r="V428" s="126">
        <v>1</v>
      </c>
      <c r="W428" s="126">
        <v>1</v>
      </c>
      <c r="X428" s="126">
        <v>1</v>
      </c>
      <c r="Y428" s="126">
        <v>1</v>
      </c>
      <c r="Z428" s="124">
        <v>0</v>
      </c>
      <c r="AA428" s="126">
        <v>0</v>
      </c>
      <c r="AB428" s="124"/>
      <c r="AC428" s="126">
        <v>0</v>
      </c>
      <c r="AD428" s="124">
        <v>0</v>
      </c>
      <c r="AE428" s="126">
        <v>1</v>
      </c>
      <c r="AF428" s="124">
        <v>0</v>
      </c>
      <c r="AG428" s="126">
        <v>0</v>
      </c>
      <c r="AH428" s="126">
        <v>0</v>
      </c>
      <c r="AI428" s="126"/>
      <c r="AJ428" s="126"/>
      <c r="AK428" s="105">
        <v>31</v>
      </c>
    </row>
    <row r="429" spans="1:37" s="127" customFormat="1" ht="15.75">
      <c r="A429" s="120">
        <v>427</v>
      </c>
      <c r="B429" s="126" t="s">
        <v>453</v>
      </c>
      <c r="C429" s="121" t="s">
        <v>298</v>
      </c>
      <c r="D429" s="122" t="str">
        <f>"9200424"</f>
        <v>9200424</v>
      </c>
      <c r="E429" s="121" t="s">
        <v>468</v>
      </c>
      <c r="F429" s="132" t="s">
        <v>27</v>
      </c>
      <c r="G429" s="122" t="s">
        <v>224</v>
      </c>
      <c r="H429" s="133" t="s">
        <v>27</v>
      </c>
      <c r="I429" s="126">
        <v>0</v>
      </c>
      <c r="J429" s="126">
        <v>0</v>
      </c>
      <c r="K429" s="126">
        <v>2</v>
      </c>
      <c r="L429" s="124">
        <v>1</v>
      </c>
      <c r="M429" s="126">
        <v>0</v>
      </c>
      <c r="N429" s="126">
        <v>0</v>
      </c>
      <c r="O429" s="126">
        <v>0</v>
      </c>
      <c r="P429" s="126"/>
      <c r="Q429" s="126">
        <v>1</v>
      </c>
      <c r="R429" s="126"/>
      <c r="S429" s="126">
        <v>1</v>
      </c>
      <c r="T429" s="124"/>
      <c r="U429" s="126">
        <v>0</v>
      </c>
      <c r="V429" s="126">
        <v>1</v>
      </c>
      <c r="W429" s="126">
        <v>0</v>
      </c>
      <c r="X429" s="126">
        <v>0</v>
      </c>
      <c r="Y429" s="126">
        <v>0</v>
      </c>
      <c r="Z429" s="124">
        <v>0</v>
      </c>
      <c r="AA429" s="126">
        <v>0</v>
      </c>
      <c r="AB429" s="124"/>
      <c r="AC429" s="126">
        <v>0</v>
      </c>
      <c r="AD429" s="124">
        <v>0</v>
      </c>
      <c r="AE429" s="126">
        <v>2</v>
      </c>
      <c r="AF429" s="124">
        <v>0</v>
      </c>
      <c r="AG429" s="126">
        <v>2</v>
      </c>
      <c r="AH429" s="126">
        <v>2</v>
      </c>
      <c r="AI429" s="126"/>
      <c r="AJ429" s="126"/>
      <c r="AK429" s="105">
        <v>41</v>
      </c>
    </row>
    <row r="430" spans="1:37" s="127" customFormat="1" ht="15.75">
      <c r="A430" s="120">
        <v>428</v>
      </c>
      <c r="B430" s="126" t="s">
        <v>453</v>
      </c>
      <c r="C430" s="121" t="s">
        <v>295</v>
      </c>
      <c r="D430" s="122" t="str">
        <f>"9200426"</f>
        <v>9200426</v>
      </c>
      <c r="E430" s="121" t="s">
        <v>468</v>
      </c>
      <c r="F430" s="132" t="s">
        <v>27</v>
      </c>
      <c r="G430" s="122" t="s">
        <v>224</v>
      </c>
      <c r="H430" s="133" t="s">
        <v>27</v>
      </c>
      <c r="I430" s="126">
        <v>5</v>
      </c>
      <c r="J430" s="126">
        <v>0</v>
      </c>
      <c r="K430" s="126">
        <v>3</v>
      </c>
      <c r="L430" s="124">
        <v>1</v>
      </c>
      <c r="M430" s="126">
        <v>0</v>
      </c>
      <c r="N430" s="126">
        <v>0</v>
      </c>
      <c r="O430" s="126">
        <v>0</v>
      </c>
      <c r="P430" s="126"/>
      <c r="Q430" s="126">
        <v>1</v>
      </c>
      <c r="R430" s="126"/>
      <c r="S430" s="126">
        <v>1</v>
      </c>
      <c r="T430" s="124"/>
      <c r="U430" s="126">
        <v>1</v>
      </c>
      <c r="V430" s="126">
        <v>1</v>
      </c>
      <c r="W430" s="126">
        <v>0</v>
      </c>
      <c r="X430" s="126">
        <v>0</v>
      </c>
      <c r="Y430" s="126">
        <v>0</v>
      </c>
      <c r="Z430" s="124">
        <v>0</v>
      </c>
      <c r="AA430" s="126">
        <v>0</v>
      </c>
      <c r="AB430" s="124"/>
      <c r="AC430" s="126">
        <v>0</v>
      </c>
      <c r="AD430" s="124">
        <v>0</v>
      </c>
      <c r="AE430" s="126">
        <v>5</v>
      </c>
      <c r="AF430" s="124">
        <v>0</v>
      </c>
      <c r="AG430" s="126">
        <v>5</v>
      </c>
      <c r="AH430" s="126">
        <v>5</v>
      </c>
      <c r="AI430" s="126"/>
      <c r="AJ430" s="126"/>
      <c r="AK430" s="105">
        <v>50</v>
      </c>
    </row>
    <row r="431" spans="1:37" s="127" customFormat="1" ht="15.75">
      <c r="A431" s="120">
        <v>429</v>
      </c>
      <c r="B431" s="126" t="s">
        <v>453</v>
      </c>
      <c r="C431" s="121" t="s">
        <v>300</v>
      </c>
      <c r="D431" s="122" t="str">
        <f>"9200427"</f>
        <v>9200427</v>
      </c>
      <c r="E431" s="121" t="s">
        <v>468</v>
      </c>
      <c r="F431" s="132" t="s">
        <v>27</v>
      </c>
      <c r="G431" s="122" t="s">
        <v>224</v>
      </c>
      <c r="H431" s="133" t="s">
        <v>27</v>
      </c>
      <c r="I431" s="126">
        <v>2</v>
      </c>
      <c r="J431" s="126">
        <v>0</v>
      </c>
      <c r="K431" s="126">
        <v>0</v>
      </c>
      <c r="L431" s="124"/>
      <c r="M431" s="126">
        <v>0</v>
      </c>
      <c r="N431" s="126">
        <v>0</v>
      </c>
      <c r="O431" s="126">
        <v>3</v>
      </c>
      <c r="P431" s="126"/>
      <c r="Q431" s="126">
        <v>2</v>
      </c>
      <c r="R431" s="126"/>
      <c r="S431" s="126">
        <v>0</v>
      </c>
      <c r="T431" s="124"/>
      <c r="U431" s="126">
        <v>0</v>
      </c>
      <c r="V431" s="126">
        <v>1</v>
      </c>
      <c r="W431" s="126">
        <v>1</v>
      </c>
      <c r="X431" s="126">
        <v>1</v>
      </c>
      <c r="Y431" s="126">
        <v>0</v>
      </c>
      <c r="Z431" s="124">
        <v>0</v>
      </c>
      <c r="AA431" s="126">
        <v>0</v>
      </c>
      <c r="AB431" s="124"/>
      <c r="AC431" s="126">
        <v>0</v>
      </c>
      <c r="AD431" s="124">
        <v>0</v>
      </c>
      <c r="AE431" s="126">
        <v>1</v>
      </c>
      <c r="AF431" s="124">
        <v>0</v>
      </c>
      <c r="AG431" s="126">
        <v>3</v>
      </c>
      <c r="AH431" s="126">
        <v>3</v>
      </c>
      <c r="AI431" s="126"/>
      <c r="AJ431" s="126"/>
      <c r="AK431" s="105">
        <v>61</v>
      </c>
    </row>
    <row r="432" spans="1:37" s="127" customFormat="1" ht="15.75">
      <c r="A432" s="120">
        <v>430</v>
      </c>
      <c r="B432" s="126" t="s">
        <v>453</v>
      </c>
      <c r="C432" s="121" t="s">
        <v>309</v>
      </c>
      <c r="D432" s="122" t="str">
        <f>"9200433"</f>
        <v>9200433</v>
      </c>
      <c r="E432" s="121" t="s">
        <v>468</v>
      </c>
      <c r="F432" s="132" t="s">
        <v>27</v>
      </c>
      <c r="G432" s="122" t="s">
        <v>224</v>
      </c>
      <c r="H432" s="133" t="s">
        <v>27</v>
      </c>
      <c r="I432" s="126">
        <v>1</v>
      </c>
      <c r="J432" s="126">
        <v>0</v>
      </c>
      <c r="K432" s="126">
        <v>0</v>
      </c>
      <c r="L432" s="124"/>
      <c r="M432" s="126">
        <v>0</v>
      </c>
      <c r="N432" s="126">
        <v>0</v>
      </c>
      <c r="O432" s="126">
        <v>0</v>
      </c>
      <c r="P432" s="126"/>
      <c r="Q432" s="126">
        <v>0</v>
      </c>
      <c r="R432" s="126"/>
      <c r="S432" s="126">
        <v>0</v>
      </c>
      <c r="T432" s="124"/>
      <c r="U432" s="126">
        <v>0</v>
      </c>
      <c r="V432" s="126"/>
      <c r="W432" s="126">
        <v>0</v>
      </c>
      <c r="X432" s="126">
        <v>0</v>
      </c>
      <c r="Y432" s="126">
        <v>0</v>
      </c>
      <c r="Z432" s="124">
        <v>0</v>
      </c>
      <c r="AA432" s="126">
        <v>0</v>
      </c>
      <c r="AB432" s="124"/>
      <c r="AC432" s="126">
        <v>0</v>
      </c>
      <c r="AD432" s="124">
        <v>0</v>
      </c>
      <c r="AE432" s="126">
        <v>0</v>
      </c>
      <c r="AF432" s="124">
        <v>0</v>
      </c>
      <c r="AG432" s="126">
        <v>0</v>
      </c>
      <c r="AH432" s="126">
        <v>0</v>
      </c>
      <c r="AI432" s="126"/>
      <c r="AJ432" s="126"/>
      <c r="AK432" s="105">
        <v>19</v>
      </c>
    </row>
    <row r="433" spans="1:37" s="127" customFormat="1" ht="15.75">
      <c r="A433" s="120">
        <v>431</v>
      </c>
      <c r="B433" s="126" t="s">
        <v>453</v>
      </c>
      <c r="C433" s="121" t="s">
        <v>373</v>
      </c>
      <c r="D433" s="122" t="str">
        <f>"9200453"</f>
        <v>9200453</v>
      </c>
      <c r="E433" s="121" t="s">
        <v>468</v>
      </c>
      <c r="F433" s="132" t="s">
        <v>27</v>
      </c>
      <c r="G433" s="122" t="s">
        <v>224</v>
      </c>
      <c r="H433" s="133" t="s">
        <v>495</v>
      </c>
      <c r="I433" s="126">
        <v>0</v>
      </c>
      <c r="J433" s="126">
        <v>0</v>
      </c>
      <c r="K433" s="126">
        <v>0</v>
      </c>
      <c r="L433" s="124"/>
      <c r="M433" s="126">
        <v>1</v>
      </c>
      <c r="N433" s="126">
        <v>1</v>
      </c>
      <c r="O433" s="126">
        <v>0</v>
      </c>
      <c r="P433" s="126"/>
      <c r="Q433" s="126">
        <v>0</v>
      </c>
      <c r="R433" s="126"/>
      <c r="S433" s="126">
        <v>1</v>
      </c>
      <c r="T433" s="124"/>
      <c r="U433" s="126">
        <v>0</v>
      </c>
      <c r="V433" s="126">
        <v>1</v>
      </c>
      <c r="W433" s="126">
        <v>0</v>
      </c>
      <c r="X433" s="126">
        <v>0</v>
      </c>
      <c r="Y433" s="126">
        <v>0</v>
      </c>
      <c r="Z433" s="124">
        <v>0</v>
      </c>
      <c r="AA433" s="126">
        <v>0</v>
      </c>
      <c r="AB433" s="124"/>
      <c r="AC433" s="126">
        <v>0</v>
      </c>
      <c r="AD433" s="124">
        <v>0</v>
      </c>
      <c r="AE433" s="126">
        <v>0</v>
      </c>
      <c r="AF433" s="124">
        <v>0</v>
      </c>
      <c r="AG433" s="126">
        <v>1</v>
      </c>
      <c r="AH433" s="126">
        <v>1</v>
      </c>
      <c r="AI433" s="126"/>
      <c r="AJ433" s="126"/>
      <c r="AK433" s="105">
        <v>33</v>
      </c>
    </row>
    <row r="434" spans="1:37" s="127" customFormat="1" ht="15.75">
      <c r="A434" s="120">
        <v>432</v>
      </c>
      <c r="B434" s="126" t="s">
        <v>453</v>
      </c>
      <c r="C434" s="121" t="s">
        <v>327</v>
      </c>
      <c r="D434" s="122" t="str">
        <f>"9200459"</f>
        <v>9200459</v>
      </c>
      <c r="E434" s="121" t="s">
        <v>468</v>
      </c>
      <c r="F434" s="132" t="s">
        <v>27</v>
      </c>
      <c r="G434" s="122" t="s">
        <v>224</v>
      </c>
      <c r="H434" s="133" t="s">
        <v>469</v>
      </c>
      <c r="I434" s="126">
        <v>1</v>
      </c>
      <c r="J434" s="126">
        <v>0</v>
      </c>
      <c r="K434" s="126">
        <v>1</v>
      </c>
      <c r="L434" s="124">
        <v>1</v>
      </c>
      <c r="M434" s="126">
        <v>1</v>
      </c>
      <c r="N434" s="126">
        <v>1</v>
      </c>
      <c r="O434" s="126">
        <v>0</v>
      </c>
      <c r="P434" s="126"/>
      <c r="Q434" s="126">
        <v>2</v>
      </c>
      <c r="R434" s="126"/>
      <c r="S434" s="126">
        <v>1</v>
      </c>
      <c r="T434" s="124"/>
      <c r="U434" s="126">
        <v>1</v>
      </c>
      <c r="V434" s="126">
        <v>1</v>
      </c>
      <c r="W434" s="126">
        <v>0</v>
      </c>
      <c r="X434" s="126">
        <v>0</v>
      </c>
      <c r="Y434" s="126">
        <v>0</v>
      </c>
      <c r="Z434" s="124">
        <v>0</v>
      </c>
      <c r="AA434" s="126" t="s">
        <v>885</v>
      </c>
      <c r="AB434" s="124"/>
      <c r="AC434" s="126">
        <v>1</v>
      </c>
      <c r="AD434" s="124">
        <v>0</v>
      </c>
      <c r="AE434" s="126">
        <v>3</v>
      </c>
      <c r="AF434" s="124">
        <v>0</v>
      </c>
      <c r="AG434" s="126">
        <v>2</v>
      </c>
      <c r="AH434" s="126">
        <v>2</v>
      </c>
      <c r="AI434" s="126"/>
      <c r="AJ434" s="126"/>
      <c r="AK434" s="105">
        <v>7</v>
      </c>
    </row>
    <row r="435" spans="1:37" s="127" customFormat="1" ht="15.75">
      <c r="A435" s="120">
        <v>433</v>
      </c>
      <c r="B435" s="126" t="s">
        <v>453</v>
      </c>
      <c r="C435" s="121" t="s">
        <v>354</v>
      </c>
      <c r="D435" s="122" t="str">
        <f>"9200460"</f>
        <v>9200460</v>
      </c>
      <c r="E435" s="121" t="s">
        <v>468</v>
      </c>
      <c r="F435" s="132" t="s">
        <v>27</v>
      </c>
      <c r="G435" s="122" t="s">
        <v>224</v>
      </c>
      <c r="H435" s="133" t="s">
        <v>483</v>
      </c>
      <c r="I435" s="126">
        <v>1</v>
      </c>
      <c r="J435" s="126">
        <v>0</v>
      </c>
      <c r="K435" s="126">
        <v>2</v>
      </c>
      <c r="L435" s="124">
        <v>1</v>
      </c>
      <c r="M435" s="126">
        <v>0</v>
      </c>
      <c r="N435" s="126">
        <v>0</v>
      </c>
      <c r="O435" s="126">
        <v>1</v>
      </c>
      <c r="P435" s="126">
        <v>1</v>
      </c>
      <c r="Q435" s="126">
        <v>1</v>
      </c>
      <c r="R435" s="126"/>
      <c r="S435" s="126">
        <v>0</v>
      </c>
      <c r="T435" s="124"/>
      <c r="U435" s="126">
        <v>1</v>
      </c>
      <c r="V435" s="126">
        <v>1</v>
      </c>
      <c r="W435" s="126">
        <v>0</v>
      </c>
      <c r="X435" s="126">
        <v>0</v>
      </c>
      <c r="Y435" s="126">
        <v>0</v>
      </c>
      <c r="Z435" s="124">
        <v>0</v>
      </c>
      <c r="AA435" s="126">
        <v>0</v>
      </c>
      <c r="AB435" s="124"/>
      <c r="AC435" s="126">
        <v>0</v>
      </c>
      <c r="AD435" s="124">
        <v>0</v>
      </c>
      <c r="AE435" s="126">
        <v>0</v>
      </c>
      <c r="AF435" s="124">
        <v>0</v>
      </c>
      <c r="AG435" s="126">
        <v>1</v>
      </c>
      <c r="AH435" s="126">
        <v>1</v>
      </c>
      <c r="AI435" s="126"/>
      <c r="AJ435" s="126"/>
      <c r="AK435" s="105">
        <v>15</v>
      </c>
    </row>
    <row r="436" spans="1:37" s="127" customFormat="1" ht="15.75">
      <c r="A436" s="120">
        <v>434</v>
      </c>
      <c r="B436" s="126" t="s">
        <v>453</v>
      </c>
      <c r="C436" s="121" t="s">
        <v>376</v>
      </c>
      <c r="D436" s="122" t="str">
        <f>"9200481"</f>
        <v>9200481</v>
      </c>
      <c r="E436" s="121" t="s">
        <v>468</v>
      </c>
      <c r="F436" s="132" t="s">
        <v>27</v>
      </c>
      <c r="G436" s="122" t="s">
        <v>224</v>
      </c>
      <c r="H436" s="133" t="s">
        <v>244</v>
      </c>
      <c r="I436" s="126">
        <v>2</v>
      </c>
      <c r="J436" s="126">
        <v>0</v>
      </c>
      <c r="K436" s="126">
        <v>0</v>
      </c>
      <c r="L436" s="124"/>
      <c r="M436" s="126">
        <v>0</v>
      </c>
      <c r="N436" s="126">
        <v>0</v>
      </c>
      <c r="O436" s="126">
        <v>0</v>
      </c>
      <c r="P436" s="126"/>
      <c r="Q436" s="126">
        <v>1</v>
      </c>
      <c r="R436" s="126"/>
      <c r="S436" s="126">
        <v>0</v>
      </c>
      <c r="T436" s="124"/>
      <c r="U436" s="126">
        <v>0</v>
      </c>
      <c r="V436" s="126">
        <v>1</v>
      </c>
      <c r="W436" s="126">
        <v>0</v>
      </c>
      <c r="X436" s="126">
        <v>0</v>
      </c>
      <c r="Y436" s="126">
        <v>0</v>
      </c>
      <c r="Z436" s="124">
        <v>0</v>
      </c>
      <c r="AA436" s="126">
        <v>0</v>
      </c>
      <c r="AB436" s="124"/>
      <c r="AC436" s="126">
        <v>0</v>
      </c>
      <c r="AD436" s="124">
        <v>0</v>
      </c>
      <c r="AE436" s="126">
        <v>0</v>
      </c>
      <c r="AF436" s="124">
        <v>0</v>
      </c>
      <c r="AG436" s="126">
        <v>1</v>
      </c>
      <c r="AH436" s="126">
        <v>1</v>
      </c>
      <c r="AI436" s="126"/>
      <c r="AJ436" s="126"/>
      <c r="AK436" s="105">
        <v>16</v>
      </c>
    </row>
    <row r="437" spans="1:37" s="127" customFormat="1" ht="15.75">
      <c r="A437" s="120">
        <v>435</v>
      </c>
      <c r="B437" s="126" t="s">
        <v>453</v>
      </c>
      <c r="C437" s="121" t="s">
        <v>301</v>
      </c>
      <c r="D437" s="122" t="str">
        <f>"9200482"</f>
        <v>9200482</v>
      </c>
      <c r="E437" s="121" t="s">
        <v>468</v>
      </c>
      <c r="F437" s="132" t="s">
        <v>27</v>
      </c>
      <c r="G437" s="122" t="s">
        <v>224</v>
      </c>
      <c r="H437" s="133" t="s">
        <v>27</v>
      </c>
      <c r="I437" s="126">
        <v>1</v>
      </c>
      <c r="J437" s="126">
        <v>0</v>
      </c>
      <c r="K437" s="126">
        <v>1</v>
      </c>
      <c r="L437" s="124">
        <v>1</v>
      </c>
      <c r="M437" s="126">
        <v>1</v>
      </c>
      <c r="N437" s="126">
        <v>1</v>
      </c>
      <c r="O437" s="126">
        <v>3</v>
      </c>
      <c r="P437" s="126"/>
      <c r="Q437" s="126">
        <v>1</v>
      </c>
      <c r="R437" s="126"/>
      <c r="S437" s="126">
        <v>1</v>
      </c>
      <c r="T437" s="124"/>
      <c r="U437" s="126">
        <v>1</v>
      </c>
      <c r="V437" s="126"/>
      <c r="W437" s="126">
        <v>0</v>
      </c>
      <c r="X437" s="126">
        <v>0</v>
      </c>
      <c r="Y437" s="126">
        <v>0</v>
      </c>
      <c r="Z437" s="124">
        <v>0</v>
      </c>
      <c r="AA437" s="126">
        <v>0</v>
      </c>
      <c r="AB437" s="124"/>
      <c r="AC437" s="126">
        <v>0</v>
      </c>
      <c r="AD437" s="124">
        <v>0</v>
      </c>
      <c r="AE437" s="126">
        <v>0</v>
      </c>
      <c r="AF437" s="124">
        <v>0</v>
      </c>
      <c r="AG437" s="126">
        <v>3</v>
      </c>
      <c r="AH437" s="126">
        <v>3</v>
      </c>
      <c r="AI437" s="126"/>
      <c r="AJ437" s="126"/>
      <c r="AK437" s="105">
        <v>19</v>
      </c>
    </row>
    <row r="438" spans="1:37" s="127" customFormat="1" ht="15.75">
      <c r="A438" s="120">
        <v>436</v>
      </c>
      <c r="B438" s="126" t="s">
        <v>453</v>
      </c>
      <c r="C438" s="121" t="s">
        <v>322</v>
      </c>
      <c r="D438" s="122" t="str">
        <f>"9200490"</f>
        <v>9200490</v>
      </c>
      <c r="E438" s="121" t="s">
        <v>468</v>
      </c>
      <c r="F438" s="132" t="s">
        <v>27</v>
      </c>
      <c r="G438" s="122" t="s">
        <v>224</v>
      </c>
      <c r="H438" s="133" t="s">
        <v>240</v>
      </c>
      <c r="I438" s="126"/>
      <c r="J438" s="126">
        <v>0</v>
      </c>
      <c r="K438" s="126"/>
      <c r="L438" s="124"/>
      <c r="M438" s="126"/>
      <c r="N438" s="126">
        <v>0</v>
      </c>
      <c r="O438" s="126"/>
      <c r="P438" s="126"/>
      <c r="Q438" s="126"/>
      <c r="R438" s="126"/>
      <c r="S438" s="126"/>
      <c r="T438" s="124"/>
      <c r="U438" s="126"/>
      <c r="V438" s="126"/>
      <c r="W438" s="126"/>
      <c r="X438" s="126"/>
      <c r="Y438" s="126"/>
      <c r="Z438" s="124">
        <v>0</v>
      </c>
      <c r="AA438" s="126"/>
      <c r="AB438" s="124"/>
      <c r="AC438" s="126"/>
      <c r="AD438" s="124">
        <v>0</v>
      </c>
      <c r="AE438" s="126"/>
      <c r="AF438" s="124">
        <v>0</v>
      </c>
      <c r="AG438" s="126"/>
      <c r="AH438" s="126"/>
      <c r="AI438" s="126"/>
      <c r="AJ438" s="126"/>
      <c r="AK438" s="105">
        <v>105</v>
      </c>
    </row>
    <row r="439" spans="1:37" s="127" customFormat="1" ht="15.75">
      <c r="A439" s="120">
        <v>437</v>
      </c>
      <c r="B439" s="126" t="s">
        <v>453</v>
      </c>
      <c r="C439" s="121" t="s">
        <v>307</v>
      </c>
      <c r="D439" s="122" t="str">
        <f>"9200492"</f>
        <v>9200492</v>
      </c>
      <c r="E439" s="121" t="s">
        <v>468</v>
      </c>
      <c r="F439" s="132" t="s">
        <v>27</v>
      </c>
      <c r="G439" s="122" t="s">
        <v>224</v>
      </c>
      <c r="H439" s="133" t="s">
        <v>27</v>
      </c>
      <c r="I439" s="126">
        <v>4</v>
      </c>
      <c r="J439" s="126">
        <v>1</v>
      </c>
      <c r="K439" s="126">
        <v>4</v>
      </c>
      <c r="L439" s="124">
        <v>1</v>
      </c>
      <c r="M439" s="126">
        <v>4</v>
      </c>
      <c r="N439" s="126">
        <v>1</v>
      </c>
      <c r="O439" s="126">
        <v>4</v>
      </c>
      <c r="P439" s="126"/>
      <c r="Q439" s="126">
        <v>4</v>
      </c>
      <c r="R439" s="126"/>
      <c r="S439" s="126">
        <v>4</v>
      </c>
      <c r="T439" s="124"/>
      <c r="U439" s="126">
        <v>4</v>
      </c>
      <c r="V439" s="126">
        <v>1</v>
      </c>
      <c r="W439" s="126">
        <v>5</v>
      </c>
      <c r="X439" s="126">
        <v>5</v>
      </c>
      <c r="Y439" s="126">
        <v>1</v>
      </c>
      <c r="Z439" s="124">
        <v>0</v>
      </c>
      <c r="AA439" s="126">
        <v>0</v>
      </c>
      <c r="AB439" s="124"/>
      <c r="AC439" s="126">
        <v>0</v>
      </c>
      <c r="AD439" s="124">
        <v>0</v>
      </c>
      <c r="AE439" s="126">
        <v>4</v>
      </c>
      <c r="AF439" s="124">
        <v>0</v>
      </c>
      <c r="AG439" s="126">
        <v>4</v>
      </c>
      <c r="AH439" s="126">
        <v>4</v>
      </c>
      <c r="AI439" s="126"/>
      <c r="AJ439" s="126"/>
      <c r="AK439" s="105">
        <v>5</v>
      </c>
    </row>
    <row r="440" spans="1:37" s="127" customFormat="1" ht="15.75">
      <c r="A440" s="120">
        <v>438</v>
      </c>
      <c r="B440" s="126" t="s">
        <v>453</v>
      </c>
      <c r="C440" s="121" t="s">
        <v>308</v>
      </c>
      <c r="D440" s="122" t="str">
        <f>"9200493"</f>
        <v>9200493</v>
      </c>
      <c r="E440" s="121" t="s">
        <v>468</v>
      </c>
      <c r="F440" s="132" t="s">
        <v>27</v>
      </c>
      <c r="G440" s="122" t="s">
        <v>224</v>
      </c>
      <c r="H440" s="133" t="s">
        <v>27</v>
      </c>
      <c r="I440" s="126"/>
      <c r="J440" s="126">
        <v>0</v>
      </c>
      <c r="K440" s="126"/>
      <c r="L440" s="124"/>
      <c r="M440" s="126"/>
      <c r="N440" s="126">
        <v>0</v>
      </c>
      <c r="O440" s="126"/>
      <c r="P440" s="126"/>
      <c r="Q440" s="126"/>
      <c r="R440" s="126"/>
      <c r="S440" s="126"/>
      <c r="T440" s="124"/>
      <c r="U440" s="126"/>
      <c r="V440" s="126"/>
      <c r="W440" s="126"/>
      <c r="X440" s="126"/>
      <c r="Y440" s="126"/>
      <c r="Z440" s="124">
        <v>0</v>
      </c>
      <c r="AA440" s="126"/>
      <c r="AB440" s="124"/>
      <c r="AC440" s="126"/>
      <c r="AD440" s="124">
        <v>0</v>
      </c>
      <c r="AE440" s="126"/>
      <c r="AF440" s="124">
        <v>0</v>
      </c>
      <c r="AG440" s="126"/>
      <c r="AH440" s="126"/>
      <c r="AI440" s="126"/>
      <c r="AJ440" s="126"/>
      <c r="AK440" s="105">
        <v>76</v>
      </c>
    </row>
    <row r="441" spans="1:37" s="127" customFormat="1" ht="15.75">
      <c r="A441" s="120">
        <v>439</v>
      </c>
      <c r="B441" s="126" t="s">
        <v>453</v>
      </c>
      <c r="C441" s="121" t="s">
        <v>339</v>
      </c>
      <c r="D441" s="122" t="str">
        <f>"9200514"</f>
        <v>9200514</v>
      </c>
      <c r="E441" s="121" t="s">
        <v>468</v>
      </c>
      <c r="F441" s="132" t="s">
        <v>27</v>
      </c>
      <c r="G441" s="122" t="s">
        <v>224</v>
      </c>
      <c r="H441" s="133" t="s">
        <v>492</v>
      </c>
      <c r="I441" s="126">
        <v>0</v>
      </c>
      <c r="J441" s="126">
        <v>0</v>
      </c>
      <c r="K441" s="126">
        <v>1</v>
      </c>
      <c r="L441" s="124">
        <v>1</v>
      </c>
      <c r="M441" s="126">
        <v>1</v>
      </c>
      <c r="N441" s="126">
        <v>1</v>
      </c>
      <c r="O441" s="126">
        <v>0</v>
      </c>
      <c r="P441" s="126"/>
      <c r="Q441" s="126">
        <v>0</v>
      </c>
      <c r="R441" s="126"/>
      <c r="S441" s="126">
        <v>0</v>
      </c>
      <c r="T441" s="124"/>
      <c r="U441" s="126">
        <v>0</v>
      </c>
      <c r="V441" s="126"/>
      <c r="W441" s="126">
        <v>1</v>
      </c>
      <c r="X441" s="126">
        <v>1</v>
      </c>
      <c r="Y441" s="126">
        <v>0</v>
      </c>
      <c r="Z441" s="124">
        <v>0</v>
      </c>
      <c r="AA441" s="126">
        <v>0</v>
      </c>
      <c r="AB441" s="124"/>
      <c r="AC441" s="126">
        <v>0</v>
      </c>
      <c r="AD441" s="124">
        <v>0</v>
      </c>
      <c r="AE441" s="126">
        <v>0</v>
      </c>
      <c r="AF441" s="124">
        <v>0</v>
      </c>
      <c r="AG441" s="126">
        <v>1</v>
      </c>
      <c r="AH441" s="126">
        <v>1</v>
      </c>
      <c r="AI441" s="126"/>
      <c r="AJ441" s="126"/>
      <c r="AK441" s="105">
        <v>4</v>
      </c>
    </row>
    <row r="442" spans="1:37" s="127" customFormat="1" ht="15.75">
      <c r="A442" s="120">
        <v>440</v>
      </c>
      <c r="B442" s="126" t="s">
        <v>453</v>
      </c>
      <c r="C442" s="121" t="s">
        <v>316</v>
      </c>
      <c r="D442" s="122" t="str">
        <f>"9200515"</f>
        <v>9200515</v>
      </c>
      <c r="E442" s="121" t="s">
        <v>468</v>
      </c>
      <c r="F442" s="132" t="s">
        <v>27</v>
      </c>
      <c r="G442" s="122" t="s">
        <v>224</v>
      </c>
      <c r="H442" s="133" t="s">
        <v>222</v>
      </c>
      <c r="I442" s="126"/>
      <c r="J442" s="126">
        <v>0</v>
      </c>
      <c r="K442" s="126"/>
      <c r="L442" s="124"/>
      <c r="M442" s="126"/>
      <c r="N442" s="126">
        <v>0</v>
      </c>
      <c r="O442" s="126"/>
      <c r="P442" s="126"/>
      <c r="Q442" s="126"/>
      <c r="R442" s="126"/>
      <c r="S442" s="126"/>
      <c r="T442" s="124"/>
      <c r="U442" s="126"/>
      <c r="V442" s="126"/>
      <c r="W442" s="126"/>
      <c r="X442" s="126"/>
      <c r="Y442" s="126"/>
      <c r="Z442" s="124">
        <v>0</v>
      </c>
      <c r="AA442" s="126"/>
      <c r="AB442" s="124"/>
      <c r="AC442" s="126"/>
      <c r="AD442" s="124">
        <v>0</v>
      </c>
      <c r="AE442" s="126"/>
      <c r="AF442" s="124">
        <v>0</v>
      </c>
      <c r="AG442" s="126"/>
      <c r="AH442" s="126"/>
      <c r="AI442" s="126"/>
      <c r="AJ442" s="126"/>
      <c r="AK442" s="105">
        <v>17</v>
      </c>
    </row>
    <row r="443" spans="1:37" s="127" customFormat="1" ht="15.75">
      <c r="A443" s="120">
        <v>441</v>
      </c>
      <c r="B443" s="126" t="s">
        <v>453</v>
      </c>
      <c r="C443" s="121" t="s">
        <v>364</v>
      </c>
      <c r="D443" s="122" t="str">
        <f>"9200516"</f>
        <v>9200516</v>
      </c>
      <c r="E443" s="121" t="s">
        <v>468</v>
      </c>
      <c r="F443" s="132" t="s">
        <v>27</v>
      </c>
      <c r="G443" s="122" t="s">
        <v>224</v>
      </c>
      <c r="H443" s="133" t="s">
        <v>242</v>
      </c>
      <c r="I443" s="126">
        <v>0</v>
      </c>
      <c r="J443" s="126">
        <v>0</v>
      </c>
      <c r="K443" s="126">
        <v>0</v>
      </c>
      <c r="L443" s="124"/>
      <c r="M443" s="126">
        <v>0</v>
      </c>
      <c r="N443" s="126">
        <v>0</v>
      </c>
      <c r="O443" s="126">
        <v>0</v>
      </c>
      <c r="P443" s="126"/>
      <c r="Q443" s="126">
        <v>0</v>
      </c>
      <c r="R443" s="126"/>
      <c r="S443" s="126">
        <v>0</v>
      </c>
      <c r="T443" s="124"/>
      <c r="U443" s="126">
        <v>1</v>
      </c>
      <c r="V443" s="126">
        <v>1</v>
      </c>
      <c r="W443" s="126">
        <v>0</v>
      </c>
      <c r="X443" s="126">
        <v>0</v>
      </c>
      <c r="Y443" s="126">
        <v>0</v>
      </c>
      <c r="Z443" s="124">
        <v>0</v>
      </c>
      <c r="AA443" s="126">
        <v>0</v>
      </c>
      <c r="AB443" s="124"/>
      <c r="AC443" s="126">
        <v>0</v>
      </c>
      <c r="AD443" s="124">
        <v>0</v>
      </c>
      <c r="AE443" s="126">
        <v>0</v>
      </c>
      <c r="AF443" s="124">
        <v>0</v>
      </c>
      <c r="AG443" s="126">
        <v>1</v>
      </c>
      <c r="AH443" s="126">
        <v>1</v>
      </c>
      <c r="AI443" s="126"/>
      <c r="AJ443" s="126"/>
      <c r="AK443" s="105">
        <v>13</v>
      </c>
    </row>
    <row r="444" spans="1:37" s="127" customFormat="1" ht="15.75">
      <c r="A444" s="120">
        <v>442</v>
      </c>
      <c r="B444" s="126" t="s">
        <v>453</v>
      </c>
      <c r="C444" s="121" t="s">
        <v>331</v>
      </c>
      <c r="D444" s="122" t="str">
        <f>"9200527"</f>
        <v>9200527</v>
      </c>
      <c r="E444" s="121" t="s">
        <v>468</v>
      </c>
      <c r="F444" s="132" t="s">
        <v>27</v>
      </c>
      <c r="G444" s="122" t="s">
        <v>224</v>
      </c>
      <c r="H444" s="133" t="s">
        <v>498</v>
      </c>
      <c r="I444" s="126">
        <v>1</v>
      </c>
      <c r="J444" s="126">
        <v>0</v>
      </c>
      <c r="K444" s="126">
        <v>0</v>
      </c>
      <c r="L444" s="124"/>
      <c r="M444" s="126">
        <v>1</v>
      </c>
      <c r="N444" s="126">
        <v>1</v>
      </c>
      <c r="O444" s="126">
        <v>1</v>
      </c>
      <c r="P444" s="126"/>
      <c r="Q444" s="126">
        <v>1</v>
      </c>
      <c r="R444" s="126"/>
      <c r="S444" s="126">
        <v>0</v>
      </c>
      <c r="T444" s="124"/>
      <c r="U444" s="126">
        <v>1</v>
      </c>
      <c r="V444" s="126">
        <v>1</v>
      </c>
      <c r="W444" s="126">
        <v>0</v>
      </c>
      <c r="X444" s="126">
        <v>0</v>
      </c>
      <c r="Y444" s="126">
        <v>0</v>
      </c>
      <c r="Z444" s="124">
        <v>0</v>
      </c>
      <c r="AA444" s="126">
        <v>0</v>
      </c>
      <c r="AB444" s="124"/>
      <c r="AC444" s="126">
        <v>0</v>
      </c>
      <c r="AD444" s="124">
        <v>0</v>
      </c>
      <c r="AE444" s="126">
        <v>1</v>
      </c>
      <c r="AF444" s="124">
        <v>0</v>
      </c>
      <c r="AG444" s="126">
        <v>1</v>
      </c>
      <c r="AH444" s="126">
        <v>1</v>
      </c>
      <c r="AI444" s="126"/>
      <c r="AJ444" s="126"/>
      <c r="AK444" s="105">
        <v>17</v>
      </c>
    </row>
    <row r="445" spans="1:37" s="127" customFormat="1" ht="15.75">
      <c r="A445" s="120">
        <v>443</v>
      </c>
      <c r="B445" s="126" t="s">
        <v>453</v>
      </c>
      <c r="C445" s="121" t="s">
        <v>311</v>
      </c>
      <c r="D445" s="122" t="str">
        <f>"9200535"</f>
        <v>9200535</v>
      </c>
      <c r="E445" s="121" t="s">
        <v>468</v>
      </c>
      <c r="F445" s="132" t="s">
        <v>27</v>
      </c>
      <c r="G445" s="122" t="s">
        <v>224</v>
      </c>
      <c r="H445" s="133" t="s">
        <v>27</v>
      </c>
      <c r="I445" s="126">
        <v>1</v>
      </c>
      <c r="J445" s="126">
        <v>0</v>
      </c>
      <c r="K445" s="126">
        <v>1</v>
      </c>
      <c r="L445" s="124">
        <v>1</v>
      </c>
      <c r="M445" s="126">
        <v>0</v>
      </c>
      <c r="N445" s="126">
        <v>0</v>
      </c>
      <c r="O445" s="126">
        <v>0</v>
      </c>
      <c r="P445" s="126"/>
      <c r="Q445" s="126">
        <v>0</v>
      </c>
      <c r="R445" s="126"/>
      <c r="S445" s="126">
        <v>0</v>
      </c>
      <c r="T445" s="124"/>
      <c r="U445" s="126">
        <v>1</v>
      </c>
      <c r="V445" s="126">
        <v>1</v>
      </c>
      <c r="W445" s="126">
        <v>0</v>
      </c>
      <c r="X445" s="126">
        <v>0</v>
      </c>
      <c r="Y445" s="126">
        <v>0</v>
      </c>
      <c r="Z445" s="124">
        <v>0</v>
      </c>
      <c r="AA445" s="126">
        <v>0</v>
      </c>
      <c r="AB445" s="124"/>
      <c r="AC445" s="126">
        <v>0</v>
      </c>
      <c r="AD445" s="124">
        <v>0</v>
      </c>
      <c r="AE445" s="126">
        <v>0</v>
      </c>
      <c r="AF445" s="124">
        <v>0</v>
      </c>
      <c r="AG445" s="126">
        <v>1</v>
      </c>
      <c r="AH445" s="126">
        <v>1</v>
      </c>
      <c r="AI445" s="126"/>
      <c r="AJ445" s="126"/>
      <c r="AK445" s="105">
        <v>32</v>
      </c>
    </row>
    <row r="446" spans="1:37" s="127" customFormat="1" ht="15.75">
      <c r="A446" s="120">
        <v>444</v>
      </c>
      <c r="B446" s="126" t="s">
        <v>453</v>
      </c>
      <c r="C446" s="121" t="s">
        <v>303</v>
      </c>
      <c r="D446" s="122" t="str">
        <f>"9200540"</f>
        <v>9200540</v>
      </c>
      <c r="E446" s="121" t="s">
        <v>468</v>
      </c>
      <c r="F446" s="132" t="s">
        <v>27</v>
      </c>
      <c r="G446" s="122" t="s">
        <v>224</v>
      </c>
      <c r="H446" s="133" t="s">
        <v>27</v>
      </c>
      <c r="I446" s="126">
        <v>2</v>
      </c>
      <c r="J446" s="126">
        <v>0</v>
      </c>
      <c r="K446" s="126">
        <v>2</v>
      </c>
      <c r="L446" s="124">
        <v>1</v>
      </c>
      <c r="M446" s="126">
        <v>0</v>
      </c>
      <c r="N446" s="126">
        <v>0</v>
      </c>
      <c r="O446" s="126">
        <v>3</v>
      </c>
      <c r="P446" s="126"/>
      <c r="Q446" s="126">
        <v>1</v>
      </c>
      <c r="R446" s="126"/>
      <c r="S446" s="126">
        <v>0</v>
      </c>
      <c r="T446" s="124"/>
      <c r="U446" s="126">
        <v>1</v>
      </c>
      <c r="V446" s="126">
        <v>1</v>
      </c>
      <c r="W446" s="126">
        <v>3</v>
      </c>
      <c r="X446" s="126">
        <v>3</v>
      </c>
      <c r="Y446" s="126">
        <v>0</v>
      </c>
      <c r="Z446" s="124">
        <v>0</v>
      </c>
      <c r="AA446" s="126">
        <v>0</v>
      </c>
      <c r="AB446" s="124"/>
      <c r="AC446" s="126">
        <v>0</v>
      </c>
      <c r="AD446" s="124">
        <v>0</v>
      </c>
      <c r="AE446" s="126">
        <v>3</v>
      </c>
      <c r="AF446" s="124">
        <v>0</v>
      </c>
      <c r="AG446" s="126">
        <v>3</v>
      </c>
      <c r="AH446" s="126">
        <v>3</v>
      </c>
      <c r="AI446" s="126"/>
      <c r="AJ446" s="126"/>
      <c r="AK446" s="105">
        <v>92</v>
      </c>
    </row>
    <row r="447" spans="1:37" s="127" customFormat="1" ht="15.75">
      <c r="A447" s="120">
        <v>445</v>
      </c>
      <c r="B447" s="126" t="s">
        <v>453</v>
      </c>
      <c r="C447" s="121" t="s">
        <v>304</v>
      </c>
      <c r="D447" s="122" t="str">
        <f>"9200541"</f>
        <v>9200541</v>
      </c>
      <c r="E447" s="121" t="s">
        <v>468</v>
      </c>
      <c r="F447" s="132" t="s">
        <v>27</v>
      </c>
      <c r="G447" s="122" t="s">
        <v>224</v>
      </c>
      <c r="H447" s="133" t="s">
        <v>27</v>
      </c>
      <c r="I447" s="126">
        <v>1</v>
      </c>
      <c r="J447" s="126">
        <v>0</v>
      </c>
      <c r="K447" s="126">
        <v>1</v>
      </c>
      <c r="L447" s="124">
        <v>1</v>
      </c>
      <c r="M447" s="126">
        <v>0</v>
      </c>
      <c r="N447" s="126">
        <v>0</v>
      </c>
      <c r="O447" s="126">
        <v>1</v>
      </c>
      <c r="P447" s="126"/>
      <c r="Q447" s="126">
        <v>0</v>
      </c>
      <c r="R447" s="126"/>
      <c r="S447" s="126">
        <v>1</v>
      </c>
      <c r="T447" s="124"/>
      <c r="U447" s="126">
        <v>1</v>
      </c>
      <c r="V447" s="126">
        <v>1</v>
      </c>
      <c r="W447" s="126">
        <v>1</v>
      </c>
      <c r="X447" s="126">
        <v>1</v>
      </c>
      <c r="Y447" s="126">
        <v>0</v>
      </c>
      <c r="Z447" s="124">
        <v>0</v>
      </c>
      <c r="AA447" s="126">
        <v>0</v>
      </c>
      <c r="AB447" s="124"/>
      <c r="AC447" s="126">
        <v>0</v>
      </c>
      <c r="AD447" s="124">
        <v>0</v>
      </c>
      <c r="AE447" s="126">
        <v>0</v>
      </c>
      <c r="AF447" s="124">
        <v>0</v>
      </c>
      <c r="AG447" s="126">
        <v>2</v>
      </c>
      <c r="AH447" s="126">
        <v>2</v>
      </c>
      <c r="AI447" s="126"/>
      <c r="AJ447" s="126"/>
      <c r="AK447" s="105">
        <v>45</v>
      </c>
    </row>
    <row r="448" spans="1:37" s="127" customFormat="1" ht="15.75">
      <c r="A448" s="120">
        <v>446</v>
      </c>
      <c r="B448" s="126" t="s">
        <v>453</v>
      </c>
      <c r="C448" s="121" t="s">
        <v>302</v>
      </c>
      <c r="D448" s="122" t="str">
        <f>"9200558"</f>
        <v>9200558</v>
      </c>
      <c r="E448" s="121" t="s">
        <v>468</v>
      </c>
      <c r="F448" s="132" t="s">
        <v>27</v>
      </c>
      <c r="G448" s="122" t="s">
        <v>224</v>
      </c>
      <c r="H448" s="133" t="s">
        <v>27</v>
      </c>
      <c r="I448" s="126">
        <v>4</v>
      </c>
      <c r="J448" s="126">
        <v>0</v>
      </c>
      <c r="K448" s="126">
        <v>2</v>
      </c>
      <c r="L448" s="124">
        <v>1</v>
      </c>
      <c r="M448" s="126">
        <v>1</v>
      </c>
      <c r="N448" s="126">
        <v>1</v>
      </c>
      <c r="O448" s="126">
        <v>2</v>
      </c>
      <c r="P448" s="126"/>
      <c r="Q448" s="126">
        <v>1</v>
      </c>
      <c r="R448" s="126"/>
      <c r="S448" s="126">
        <v>1</v>
      </c>
      <c r="T448" s="124"/>
      <c r="U448" s="126">
        <v>1</v>
      </c>
      <c r="V448" s="126">
        <v>1</v>
      </c>
      <c r="W448" s="126">
        <v>1</v>
      </c>
      <c r="X448" s="126">
        <v>1</v>
      </c>
      <c r="Y448" s="126">
        <v>0</v>
      </c>
      <c r="Z448" s="124">
        <v>0</v>
      </c>
      <c r="AA448" s="126" t="s">
        <v>884</v>
      </c>
      <c r="AB448" s="124"/>
      <c r="AC448" s="126">
        <v>0</v>
      </c>
      <c r="AD448" s="124"/>
      <c r="AE448" s="126">
        <v>1</v>
      </c>
      <c r="AF448" s="124">
        <v>0</v>
      </c>
      <c r="AG448" s="126">
        <v>2</v>
      </c>
      <c r="AH448" s="126">
        <v>2</v>
      </c>
      <c r="AI448" s="126"/>
      <c r="AJ448" s="126"/>
      <c r="AK448" s="105">
        <v>57</v>
      </c>
    </row>
    <row r="449" spans="1:37" s="127" customFormat="1" ht="15.75">
      <c r="A449" s="120">
        <v>447</v>
      </c>
      <c r="B449" s="126" t="s">
        <v>453</v>
      </c>
      <c r="C449" s="121" t="s">
        <v>355</v>
      </c>
      <c r="D449" s="122" t="str">
        <f>"9200562"</f>
        <v>9200562</v>
      </c>
      <c r="E449" s="121" t="s">
        <v>468</v>
      </c>
      <c r="F449" s="132" t="s">
        <v>27</v>
      </c>
      <c r="G449" s="122" t="s">
        <v>224</v>
      </c>
      <c r="H449" s="133" t="s">
        <v>471</v>
      </c>
      <c r="I449" s="126">
        <v>1</v>
      </c>
      <c r="J449" s="126">
        <v>0</v>
      </c>
      <c r="K449" s="126">
        <v>0</v>
      </c>
      <c r="L449" s="124"/>
      <c r="M449" s="126">
        <v>0</v>
      </c>
      <c r="N449" s="126">
        <v>0</v>
      </c>
      <c r="O449" s="126">
        <v>1</v>
      </c>
      <c r="P449" s="126">
        <v>1</v>
      </c>
      <c r="Q449" s="126">
        <v>0</v>
      </c>
      <c r="R449" s="126"/>
      <c r="S449" s="126">
        <v>1</v>
      </c>
      <c r="T449" s="124"/>
      <c r="U449" s="126">
        <v>1</v>
      </c>
      <c r="V449" s="126">
        <v>1</v>
      </c>
      <c r="W449" s="126">
        <v>0</v>
      </c>
      <c r="X449" s="126">
        <v>0</v>
      </c>
      <c r="Y449" s="126">
        <v>0</v>
      </c>
      <c r="Z449" s="124">
        <v>0</v>
      </c>
      <c r="AA449" s="126">
        <v>0</v>
      </c>
      <c r="AB449" s="124"/>
      <c r="AC449" s="126">
        <v>0</v>
      </c>
      <c r="AD449" s="124">
        <v>0</v>
      </c>
      <c r="AE449" s="126">
        <v>1</v>
      </c>
      <c r="AF449" s="124">
        <v>0</v>
      </c>
      <c r="AG449" s="126">
        <v>1</v>
      </c>
      <c r="AH449" s="126">
        <v>1</v>
      </c>
      <c r="AI449" s="126"/>
      <c r="AJ449" s="126"/>
      <c r="AK449" s="105">
        <v>16</v>
      </c>
    </row>
    <row r="450" spans="1:37" s="127" customFormat="1" ht="15.75">
      <c r="A450" s="120">
        <v>448</v>
      </c>
      <c r="B450" s="126" t="s">
        <v>453</v>
      </c>
      <c r="C450" s="121" t="s">
        <v>305</v>
      </c>
      <c r="D450" s="122" t="str">
        <f>"9200569"</f>
        <v>9200569</v>
      </c>
      <c r="E450" s="121" t="s">
        <v>468</v>
      </c>
      <c r="F450" s="132" t="s">
        <v>27</v>
      </c>
      <c r="G450" s="122" t="s">
        <v>224</v>
      </c>
      <c r="H450" s="133" t="s">
        <v>27</v>
      </c>
      <c r="I450" s="126">
        <v>2</v>
      </c>
      <c r="J450" s="126">
        <v>0</v>
      </c>
      <c r="K450" s="126">
        <v>1</v>
      </c>
      <c r="L450" s="124">
        <v>1</v>
      </c>
      <c r="M450" s="126">
        <v>4</v>
      </c>
      <c r="N450" s="126">
        <v>1</v>
      </c>
      <c r="O450" s="126">
        <v>0</v>
      </c>
      <c r="P450" s="126"/>
      <c r="Q450" s="126">
        <v>1</v>
      </c>
      <c r="R450" s="126"/>
      <c r="S450" s="126">
        <v>0</v>
      </c>
      <c r="T450" s="124"/>
      <c r="U450" s="126">
        <v>1</v>
      </c>
      <c r="V450" s="126">
        <v>1</v>
      </c>
      <c r="W450" s="126">
        <v>1</v>
      </c>
      <c r="X450" s="126">
        <v>1</v>
      </c>
      <c r="Y450" s="126">
        <v>0</v>
      </c>
      <c r="Z450" s="124">
        <v>0</v>
      </c>
      <c r="AA450" s="126">
        <v>0</v>
      </c>
      <c r="AB450" s="124"/>
      <c r="AC450" s="126">
        <v>0</v>
      </c>
      <c r="AD450" s="124">
        <v>0</v>
      </c>
      <c r="AE450" s="126">
        <v>0</v>
      </c>
      <c r="AF450" s="124">
        <v>0</v>
      </c>
      <c r="AG450" s="126">
        <v>4</v>
      </c>
      <c r="AH450" s="126">
        <v>4</v>
      </c>
      <c r="AI450" s="126"/>
      <c r="AJ450" s="126"/>
      <c r="AK450" s="105">
        <v>32</v>
      </c>
    </row>
    <row r="451" spans="1:37" s="127" customFormat="1" ht="15.75">
      <c r="A451" s="120">
        <v>449</v>
      </c>
      <c r="B451" s="126" t="s">
        <v>453</v>
      </c>
      <c r="C451" s="121" t="s">
        <v>317</v>
      </c>
      <c r="D451" s="122" t="str">
        <f>"9200570"</f>
        <v>9200570</v>
      </c>
      <c r="E451" s="121" t="s">
        <v>468</v>
      </c>
      <c r="F451" s="132" t="s">
        <v>27</v>
      </c>
      <c r="G451" s="122" t="s">
        <v>224</v>
      </c>
      <c r="H451" s="133" t="s">
        <v>222</v>
      </c>
      <c r="I451" s="126">
        <v>1</v>
      </c>
      <c r="J451" s="126">
        <v>0</v>
      </c>
      <c r="K451" s="126">
        <v>3</v>
      </c>
      <c r="L451" s="124">
        <v>1</v>
      </c>
      <c r="M451" s="126">
        <v>2</v>
      </c>
      <c r="N451" s="126">
        <v>1</v>
      </c>
      <c r="O451" s="126">
        <v>1</v>
      </c>
      <c r="P451" s="126"/>
      <c r="Q451" s="126">
        <v>1</v>
      </c>
      <c r="R451" s="126"/>
      <c r="S451" s="126">
        <v>1</v>
      </c>
      <c r="T451" s="124"/>
      <c r="U451" s="126">
        <v>0</v>
      </c>
      <c r="V451" s="126">
        <v>1</v>
      </c>
      <c r="W451" s="126">
        <v>0</v>
      </c>
      <c r="X451" s="126">
        <v>0</v>
      </c>
      <c r="Y451" s="126">
        <v>0</v>
      </c>
      <c r="Z451" s="124">
        <v>0</v>
      </c>
      <c r="AA451" s="126">
        <v>0</v>
      </c>
      <c r="AB451" s="124"/>
      <c r="AC451" s="126">
        <v>0</v>
      </c>
      <c r="AD451" s="124">
        <v>0</v>
      </c>
      <c r="AE451" s="126">
        <v>3</v>
      </c>
      <c r="AF451" s="124">
        <v>0</v>
      </c>
      <c r="AG451" s="126">
        <v>1</v>
      </c>
      <c r="AH451" s="126">
        <v>1</v>
      </c>
      <c r="AI451" s="126"/>
      <c r="AJ451" s="126"/>
      <c r="AK451" s="105">
        <v>40</v>
      </c>
    </row>
    <row r="452" spans="1:37" s="127" customFormat="1" ht="15.75">
      <c r="A452" s="120">
        <v>450</v>
      </c>
      <c r="B452" s="126" t="s">
        <v>453</v>
      </c>
      <c r="C452" s="121" t="s">
        <v>306</v>
      </c>
      <c r="D452" s="122" t="str">
        <f>"9200571"</f>
        <v>9200571</v>
      </c>
      <c r="E452" s="121" t="s">
        <v>468</v>
      </c>
      <c r="F452" s="132" t="s">
        <v>27</v>
      </c>
      <c r="G452" s="122" t="s">
        <v>224</v>
      </c>
      <c r="H452" s="133" t="s">
        <v>27</v>
      </c>
      <c r="I452" s="126">
        <v>2</v>
      </c>
      <c r="J452" s="126">
        <v>0</v>
      </c>
      <c r="K452" s="126">
        <v>1</v>
      </c>
      <c r="L452" s="124">
        <v>1</v>
      </c>
      <c r="M452" s="126">
        <v>1</v>
      </c>
      <c r="N452" s="126">
        <v>1</v>
      </c>
      <c r="O452" s="126">
        <v>0</v>
      </c>
      <c r="P452" s="126"/>
      <c r="Q452" s="126">
        <v>2</v>
      </c>
      <c r="R452" s="126"/>
      <c r="S452" s="126">
        <v>0</v>
      </c>
      <c r="T452" s="124"/>
      <c r="U452" s="126">
        <v>2</v>
      </c>
      <c r="V452" s="126">
        <v>1</v>
      </c>
      <c r="W452" s="126">
        <v>1</v>
      </c>
      <c r="X452" s="126">
        <v>1</v>
      </c>
      <c r="Y452" s="126">
        <v>1</v>
      </c>
      <c r="Z452" s="124">
        <v>0</v>
      </c>
      <c r="AA452" s="126">
        <v>0</v>
      </c>
      <c r="AB452" s="124"/>
      <c r="AC452" s="126">
        <v>0</v>
      </c>
      <c r="AD452" s="124">
        <v>0</v>
      </c>
      <c r="AE452" s="126">
        <v>0</v>
      </c>
      <c r="AF452" s="124">
        <v>0</v>
      </c>
      <c r="AG452" s="126">
        <v>0</v>
      </c>
      <c r="AH452" s="126">
        <v>0</v>
      </c>
      <c r="AI452" s="126"/>
      <c r="AJ452" s="126"/>
      <c r="AK452" s="105">
        <v>75</v>
      </c>
    </row>
    <row r="453" spans="1:37" s="127" customFormat="1" ht="15.75">
      <c r="A453" s="120">
        <v>451</v>
      </c>
      <c r="B453" s="126" t="s">
        <v>453</v>
      </c>
      <c r="C453" s="121" t="s">
        <v>379</v>
      </c>
      <c r="D453" s="122" t="str">
        <f>"9200573"</f>
        <v>9200573</v>
      </c>
      <c r="E453" s="121" t="s">
        <v>468</v>
      </c>
      <c r="F453" s="132" t="s">
        <v>27</v>
      </c>
      <c r="G453" s="122" t="s">
        <v>224</v>
      </c>
      <c r="H453" s="133" t="s">
        <v>27</v>
      </c>
      <c r="I453" s="126">
        <v>3</v>
      </c>
      <c r="J453" s="126">
        <v>1</v>
      </c>
      <c r="K453" s="126">
        <v>0</v>
      </c>
      <c r="L453" s="124"/>
      <c r="M453" s="126">
        <v>1</v>
      </c>
      <c r="N453" s="126">
        <v>1</v>
      </c>
      <c r="O453" s="126">
        <v>2</v>
      </c>
      <c r="P453" s="126"/>
      <c r="Q453" s="126">
        <v>1</v>
      </c>
      <c r="R453" s="126"/>
      <c r="S453" s="126">
        <v>1</v>
      </c>
      <c r="T453" s="124"/>
      <c r="U453" s="126">
        <v>2</v>
      </c>
      <c r="V453" s="126">
        <v>1</v>
      </c>
      <c r="W453" s="126">
        <v>0</v>
      </c>
      <c r="X453" s="126">
        <v>0</v>
      </c>
      <c r="Y453" s="126">
        <v>0</v>
      </c>
      <c r="Z453" s="124">
        <v>0</v>
      </c>
      <c r="AA453" s="126">
        <v>0</v>
      </c>
      <c r="AB453" s="124"/>
      <c r="AC453" s="126">
        <v>0</v>
      </c>
      <c r="AD453" s="124">
        <v>0</v>
      </c>
      <c r="AE453" s="126">
        <v>3</v>
      </c>
      <c r="AF453" s="124">
        <v>0</v>
      </c>
      <c r="AG453" s="126">
        <v>3</v>
      </c>
      <c r="AH453" s="126">
        <v>3</v>
      </c>
      <c r="AI453" s="126"/>
      <c r="AJ453" s="126"/>
      <c r="AK453" s="105">
        <v>6</v>
      </c>
    </row>
    <row r="454" spans="1:37" s="127" customFormat="1" ht="15.75">
      <c r="A454" s="120">
        <v>452</v>
      </c>
      <c r="B454" s="126" t="s">
        <v>453</v>
      </c>
      <c r="C454" s="121" t="s">
        <v>310</v>
      </c>
      <c r="D454" s="122" t="str">
        <f>"9200575"</f>
        <v>9200575</v>
      </c>
      <c r="E454" s="121" t="s">
        <v>468</v>
      </c>
      <c r="F454" s="132" t="s">
        <v>27</v>
      </c>
      <c r="G454" s="122" t="s">
        <v>224</v>
      </c>
      <c r="H454" s="133" t="s">
        <v>27</v>
      </c>
      <c r="I454" s="126">
        <v>0</v>
      </c>
      <c r="J454" s="126">
        <v>0</v>
      </c>
      <c r="K454" s="126">
        <v>2</v>
      </c>
      <c r="L454" s="124">
        <v>1</v>
      </c>
      <c r="M454" s="126">
        <v>1</v>
      </c>
      <c r="N454" s="126">
        <v>1</v>
      </c>
      <c r="O454" s="126">
        <v>1</v>
      </c>
      <c r="P454" s="126"/>
      <c r="Q454" s="126">
        <v>2</v>
      </c>
      <c r="R454" s="126"/>
      <c r="S454" s="126">
        <v>0</v>
      </c>
      <c r="T454" s="124"/>
      <c r="U454" s="126">
        <v>2</v>
      </c>
      <c r="V454" s="126">
        <v>1</v>
      </c>
      <c r="W454" s="126">
        <v>0</v>
      </c>
      <c r="X454" s="126">
        <v>0</v>
      </c>
      <c r="Y454" s="126">
        <v>1</v>
      </c>
      <c r="Z454" s="124">
        <v>0</v>
      </c>
      <c r="AA454" s="126">
        <v>0</v>
      </c>
      <c r="AB454" s="124"/>
      <c r="AC454" s="126">
        <v>0</v>
      </c>
      <c r="AD454" s="124">
        <v>0</v>
      </c>
      <c r="AE454" s="126">
        <v>1</v>
      </c>
      <c r="AF454" s="124">
        <v>0</v>
      </c>
      <c r="AG454" s="126">
        <v>2</v>
      </c>
      <c r="AH454" s="126">
        <v>2</v>
      </c>
      <c r="AI454" s="126"/>
      <c r="AJ454" s="126"/>
      <c r="AK454" s="105">
        <v>50</v>
      </c>
    </row>
    <row r="455" spans="1:37" s="127" customFormat="1" ht="15.75">
      <c r="A455" s="120">
        <v>453</v>
      </c>
      <c r="B455" s="126" t="s">
        <v>453</v>
      </c>
      <c r="C455" s="121" t="s">
        <v>299</v>
      </c>
      <c r="D455" s="122" t="str">
        <f>"9200592"</f>
        <v>9200592</v>
      </c>
      <c r="E455" s="121" t="s">
        <v>468</v>
      </c>
      <c r="F455" s="132" t="s">
        <v>27</v>
      </c>
      <c r="G455" s="122" t="s">
        <v>224</v>
      </c>
      <c r="H455" s="133" t="s">
        <v>27</v>
      </c>
      <c r="I455" s="126">
        <v>1</v>
      </c>
      <c r="J455" s="126">
        <v>0</v>
      </c>
      <c r="K455" s="126">
        <v>3</v>
      </c>
      <c r="L455" s="124">
        <v>1</v>
      </c>
      <c r="M455" s="126">
        <v>1</v>
      </c>
      <c r="N455" s="126">
        <v>1</v>
      </c>
      <c r="O455" s="126">
        <v>0</v>
      </c>
      <c r="P455" s="126"/>
      <c r="Q455" s="126">
        <v>1</v>
      </c>
      <c r="R455" s="126"/>
      <c r="S455" s="126">
        <v>1</v>
      </c>
      <c r="T455" s="124"/>
      <c r="U455" s="126">
        <v>2</v>
      </c>
      <c r="V455" s="126">
        <v>1</v>
      </c>
      <c r="W455" s="126">
        <v>1</v>
      </c>
      <c r="X455" s="126">
        <v>1</v>
      </c>
      <c r="Y455" s="126">
        <v>1</v>
      </c>
      <c r="Z455" s="124">
        <v>0</v>
      </c>
      <c r="AA455" s="126">
        <v>0</v>
      </c>
      <c r="AB455" s="124"/>
      <c r="AC455" s="126">
        <v>0</v>
      </c>
      <c r="AD455" s="124">
        <v>0</v>
      </c>
      <c r="AE455" s="126">
        <v>4</v>
      </c>
      <c r="AF455" s="124">
        <v>0</v>
      </c>
      <c r="AG455" s="126">
        <v>0</v>
      </c>
      <c r="AH455" s="126">
        <v>0</v>
      </c>
      <c r="AI455" s="126"/>
      <c r="AJ455" s="126"/>
      <c r="AK455" s="105">
        <v>35</v>
      </c>
    </row>
    <row r="456" spans="1:37" s="127" customFormat="1" ht="15.75">
      <c r="A456" s="120">
        <v>454</v>
      </c>
      <c r="B456" s="126" t="s">
        <v>453</v>
      </c>
      <c r="C456" s="121" t="s">
        <v>378</v>
      </c>
      <c r="D456" s="122" t="str">
        <f>"9200594"</f>
        <v>9200594</v>
      </c>
      <c r="E456" s="121" t="s">
        <v>468</v>
      </c>
      <c r="F456" s="132" t="s">
        <v>27</v>
      </c>
      <c r="G456" s="122" t="s">
        <v>224</v>
      </c>
      <c r="H456" s="133" t="s">
        <v>27</v>
      </c>
      <c r="I456" s="126">
        <v>0</v>
      </c>
      <c r="J456" s="126">
        <v>0</v>
      </c>
      <c r="K456" s="126">
        <v>0</v>
      </c>
      <c r="L456" s="124"/>
      <c r="M456" s="126">
        <v>1</v>
      </c>
      <c r="N456" s="126">
        <v>1</v>
      </c>
      <c r="O456" s="126">
        <v>1</v>
      </c>
      <c r="P456" s="126"/>
      <c r="Q456" s="126">
        <v>0</v>
      </c>
      <c r="R456" s="126"/>
      <c r="S456" s="126">
        <v>0</v>
      </c>
      <c r="T456" s="124"/>
      <c r="U456" s="126">
        <v>1</v>
      </c>
      <c r="V456" s="126">
        <v>1</v>
      </c>
      <c r="W456" s="126">
        <v>0</v>
      </c>
      <c r="X456" s="126">
        <v>0</v>
      </c>
      <c r="Y456" s="126">
        <v>0</v>
      </c>
      <c r="Z456" s="124">
        <v>0</v>
      </c>
      <c r="AA456" s="126">
        <v>0</v>
      </c>
      <c r="AB456" s="124"/>
      <c r="AC456" s="126">
        <v>0</v>
      </c>
      <c r="AD456" s="124">
        <v>0</v>
      </c>
      <c r="AE456" s="126">
        <v>1</v>
      </c>
      <c r="AF456" s="124">
        <v>0</v>
      </c>
      <c r="AG456" s="126">
        <v>1</v>
      </c>
      <c r="AH456" s="126">
        <v>1</v>
      </c>
      <c r="AI456" s="126"/>
      <c r="AJ456" s="126"/>
      <c r="AK456" s="105">
        <v>28</v>
      </c>
    </row>
    <row r="457" spans="1:37" s="127" customFormat="1" ht="15.75">
      <c r="A457" s="120">
        <v>455</v>
      </c>
      <c r="B457" s="126" t="s">
        <v>453</v>
      </c>
      <c r="C457" s="121" t="s">
        <v>367</v>
      </c>
      <c r="D457" s="122" t="str">
        <f>"9200598"</f>
        <v>9200598</v>
      </c>
      <c r="E457" s="121" t="s">
        <v>468</v>
      </c>
      <c r="F457" s="132" t="s">
        <v>27</v>
      </c>
      <c r="G457" s="122" t="s">
        <v>224</v>
      </c>
      <c r="H457" s="133" t="s">
        <v>494</v>
      </c>
      <c r="I457" s="126">
        <v>0</v>
      </c>
      <c r="J457" s="126">
        <v>0</v>
      </c>
      <c r="K457" s="126">
        <v>1</v>
      </c>
      <c r="L457" s="124">
        <v>1</v>
      </c>
      <c r="M457" s="126">
        <v>1</v>
      </c>
      <c r="N457" s="126">
        <v>1</v>
      </c>
      <c r="O457" s="126">
        <v>1</v>
      </c>
      <c r="P457" s="126"/>
      <c r="Q457" s="126">
        <v>0</v>
      </c>
      <c r="R457" s="126"/>
      <c r="S457" s="126">
        <v>0</v>
      </c>
      <c r="T457" s="124"/>
      <c r="U457" s="126">
        <v>1</v>
      </c>
      <c r="V457" s="126">
        <v>1</v>
      </c>
      <c r="W457" s="126">
        <v>0</v>
      </c>
      <c r="X457" s="126">
        <v>0</v>
      </c>
      <c r="Y457" s="126">
        <v>0</v>
      </c>
      <c r="Z457" s="124">
        <v>0</v>
      </c>
      <c r="AA457" s="126" t="s">
        <v>887</v>
      </c>
      <c r="AB457" s="124"/>
      <c r="AC457" s="126">
        <v>0</v>
      </c>
      <c r="AD457" s="124">
        <v>0</v>
      </c>
      <c r="AE457" s="126">
        <v>0</v>
      </c>
      <c r="AF457" s="124">
        <v>0</v>
      </c>
      <c r="AG457" s="126">
        <v>1</v>
      </c>
      <c r="AH457" s="126">
        <v>1</v>
      </c>
      <c r="AI457" s="126"/>
      <c r="AJ457" s="126"/>
      <c r="AK457" s="105">
        <v>16</v>
      </c>
    </row>
    <row r="458" spans="1:37" s="127" customFormat="1" ht="15.75">
      <c r="A458" s="120">
        <v>456</v>
      </c>
      <c r="B458" s="126" t="s">
        <v>453</v>
      </c>
      <c r="C458" s="121" t="s">
        <v>314</v>
      </c>
      <c r="D458" s="122" t="str">
        <f>"9200599"</f>
        <v>9200599</v>
      </c>
      <c r="E458" s="121" t="s">
        <v>468</v>
      </c>
      <c r="F458" s="132" t="s">
        <v>27</v>
      </c>
      <c r="G458" s="122" t="s">
        <v>224</v>
      </c>
      <c r="H458" s="133" t="s">
        <v>27</v>
      </c>
      <c r="I458" s="126"/>
      <c r="J458" s="126">
        <v>0</v>
      </c>
      <c r="K458" s="126"/>
      <c r="L458" s="124"/>
      <c r="M458" s="126"/>
      <c r="N458" s="126">
        <v>0</v>
      </c>
      <c r="O458" s="126"/>
      <c r="P458" s="126"/>
      <c r="Q458" s="126"/>
      <c r="R458" s="126"/>
      <c r="S458" s="126"/>
      <c r="T458" s="124"/>
      <c r="U458" s="126"/>
      <c r="V458" s="126"/>
      <c r="W458" s="126"/>
      <c r="X458" s="126"/>
      <c r="Y458" s="126"/>
      <c r="Z458" s="124">
        <v>0</v>
      </c>
      <c r="AA458" s="126"/>
      <c r="AB458" s="124"/>
      <c r="AC458" s="126"/>
      <c r="AD458" s="124">
        <v>0</v>
      </c>
      <c r="AE458" s="126"/>
      <c r="AF458" s="124">
        <v>0</v>
      </c>
      <c r="AG458" s="126"/>
      <c r="AH458" s="126"/>
      <c r="AI458" s="126"/>
      <c r="AJ458" s="126"/>
      <c r="AK458" s="105">
        <v>18</v>
      </c>
    </row>
    <row r="459" spans="1:37" s="127" customFormat="1" ht="15.75">
      <c r="A459" s="120">
        <v>457</v>
      </c>
      <c r="B459" s="126" t="s">
        <v>453</v>
      </c>
      <c r="C459" s="121" t="s">
        <v>318</v>
      </c>
      <c r="D459" s="122" t="str">
        <f>"9521219"</f>
        <v>9521219</v>
      </c>
      <c r="E459" s="121" t="s">
        <v>468</v>
      </c>
      <c r="F459" s="132" t="s">
        <v>27</v>
      </c>
      <c r="G459" s="122" t="s">
        <v>224</v>
      </c>
      <c r="H459" s="133" t="s">
        <v>222</v>
      </c>
      <c r="I459" s="126">
        <v>1</v>
      </c>
      <c r="J459" s="126">
        <v>0</v>
      </c>
      <c r="K459" s="126">
        <v>0</v>
      </c>
      <c r="L459" s="124"/>
      <c r="M459" s="126">
        <v>0</v>
      </c>
      <c r="N459" s="126">
        <v>0</v>
      </c>
      <c r="O459" s="126">
        <v>0</v>
      </c>
      <c r="P459" s="126"/>
      <c r="Q459" s="126">
        <v>0</v>
      </c>
      <c r="R459" s="126"/>
      <c r="S459" s="126">
        <v>0</v>
      </c>
      <c r="T459" s="124"/>
      <c r="U459" s="126">
        <v>0</v>
      </c>
      <c r="V459" s="126"/>
      <c r="W459" s="126">
        <v>0</v>
      </c>
      <c r="X459" s="126">
        <v>0</v>
      </c>
      <c r="Y459" s="126">
        <v>0</v>
      </c>
      <c r="Z459" s="124">
        <v>0</v>
      </c>
      <c r="AA459" s="126">
        <v>0</v>
      </c>
      <c r="AB459" s="124"/>
      <c r="AC459" s="126">
        <v>0</v>
      </c>
      <c r="AD459" s="124">
        <v>0</v>
      </c>
      <c r="AE459" s="126">
        <v>0</v>
      </c>
      <c r="AF459" s="124">
        <v>0</v>
      </c>
      <c r="AG459" s="126">
        <v>0</v>
      </c>
      <c r="AH459" s="126">
        <v>0</v>
      </c>
      <c r="AI459" s="126"/>
      <c r="AJ459" s="126"/>
      <c r="AK459" s="105">
        <v>47</v>
      </c>
    </row>
    <row r="460" spans="1:37" s="127" customFormat="1" ht="15.75">
      <c r="A460" s="120">
        <v>458</v>
      </c>
      <c r="B460" s="126" t="s">
        <v>453</v>
      </c>
      <c r="C460" s="121" t="s">
        <v>312</v>
      </c>
      <c r="D460" s="122" t="str">
        <f>"9521220"</f>
        <v>9521220</v>
      </c>
      <c r="E460" s="121" t="s">
        <v>468</v>
      </c>
      <c r="F460" s="132" t="s">
        <v>27</v>
      </c>
      <c r="G460" s="122" t="s">
        <v>224</v>
      </c>
      <c r="H460" s="133" t="s">
        <v>27</v>
      </c>
      <c r="I460" s="126">
        <v>1</v>
      </c>
      <c r="J460" s="126">
        <v>0</v>
      </c>
      <c r="K460" s="126">
        <v>1</v>
      </c>
      <c r="L460" s="124">
        <v>1</v>
      </c>
      <c r="M460" s="126">
        <v>0</v>
      </c>
      <c r="N460" s="126">
        <v>0</v>
      </c>
      <c r="O460" s="126">
        <v>1</v>
      </c>
      <c r="P460" s="126">
        <v>1</v>
      </c>
      <c r="Q460" s="126">
        <v>1</v>
      </c>
      <c r="R460" s="126"/>
      <c r="S460" s="126">
        <v>1</v>
      </c>
      <c r="T460" s="124"/>
      <c r="U460" s="126">
        <v>1</v>
      </c>
      <c r="V460" s="126">
        <v>1</v>
      </c>
      <c r="W460" s="126">
        <v>0</v>
      </c>
      <c r="X460" s="126">
        <v>0</v>
      </c>
      <c r="Y460" s="126">
        <v>0</v>
      </c>
      <c r="Z460" s="124">
        <v>0</v>
      </c>
      <c r="AA460" s="126">
        <v>0</v>
      </c>
      <c r="AB460" s="124"/>
      <c r="AC460" s="126">
        <v>0</v>
      </c>
      <c r="AD460" s="124">
        <v>0</v>
      </c>
      <c r="AE460" s="126">
        <v>1</v>
      </c>
      <c r="AF460" s="124">
        <v>0</v>
      </c>
      <c r="AG460" s="126">
        <v>3</v>
      </c>
      <c r="AH460" s="126">
        <v>3</v>
      </c>
      <c r="AI460" s="126"/>
      <c r="AJ460" s="126"/>
      <c r="AK460" s="105">
        <v>13</v>
      </c>
    </row>
    <row r="461" spans="1:37" s="127" customFormat="1" ht="15.75">
      <c r="A461" s="120">
        <v>459</v>
      </c>
      <c r="B461" s="126" t="s">
        <v>453</v>
      </c>
      <c r="C461" s="121" t="s">
        <v>319</v>
      </c>
      <c r="D461" s="122" t="str">
        <f>"9521533"</f>
        <v>9521533</v>
      </c>
      <c r="E461" s="121" t="s">
        <v>468</v>
      </c>
      <c r="F461" s="132" t="s">
        <v>27</v>
      </c>
      <c r="G461" s="122" t="s">
        <v>224</v>
      </c>
      <c r="H461" s="133" t="s">
        <v>222</v>
      </c>
      <c r="I461" s="126">
        <v>2</v>
      </c>
      <c r="J461" s="126">
        <v>0</v>
      </c>
      <c r="K461" s="126">
        <v>0</v>
      </c>
      <c r="L461" s="124"/>
      <c r="M461" s="126">
        <v>0</v>
      </c>
      <c r="N461" s="126">
        <v>0</v>
      </c>
      <c r="O461" s="126">
        <v>2</v>
      </c>
      <c r="P461" s="126">
        <v>1</v>
      </c>
      <c r="Q461" s="126">
        <v>0</v>
      </c>
      <c r="R461" s="126"/>
      <c r="S461" s="126">
        <v>1</v>
      </c>
      <c r="T461" s="124"/>
      <c r="U461" s="126">
        <v>1</v>
      </c>
      <c r="V461" s="126">
        <v>1</v>
      </c>
      <c r="W461" s="126">
        <v>0</v>
      </c>
      <c r="X461" s="126">
        <v>0</v>
      </c>
      <c r="Y461" s="126">
        <v>0</v>
      </c>
      <c r="Z461" s="124">
        <v>0</v>
      </c>
      <c r="AA461" s="126">
        <v>0</v>
      </c>
      <c r="AB461" s="124"/>
      <c r="AC461" s="126">
        <v>0</v>
      </c>
      <c r="AD461" s="124">
        <v>0</v>
      </c>
      <c r="AE461" s="126">
        <v>0</v>
      </c>
      <c r="AF461" s="124">
        <v>0</v>
      </c>
      <c r="AG461" s="126">
        <v>2</v>
      </c>
      <c r="AH461" s="126">
        <v>2</v>
      </c>
      <c r="AI461" s="126"/>
      <c r="AJ461" s="126"/>
      <c r="AK461" s="105">
        <v>78</v>
      </c>
    </row>
    <row r="462" spans="1:37" s="127" customFormat="1" ht="15.75">
      <c r="A462" s="120">
        <v>460</v>
      </c>
      <c r="B462" s="126" t="s">
        <v>453</v>
      </c>
      <c r="C462" s="121" t="s">
        <v>313</v>
      </c>
      <c r="D462" s="122" t="str">
        <f>"9521534"</f>
        <v>9521534</v>
      </c>
      <c r="E462" s="121" t="s">
        <v>468</v>
      </c>
      <c r="F462" s="132" t="s">
        <v>27</v>
      </c>
      <c r="G462" s="122" t="s">
        <v>224</v>
      </c>
      <c r="H462" s="133" t="s">
        <v>27</v>
      </c>
      <c r="I462" s="126">
        <v>0</v>
      </c>
      <c r="J462" s="126">
        <v>0</v>
      </c>
      <c r="K462" s="126">
        <v>1</v>
      </c>
      <c r="L462" s="124">
        <v>1</v>
      </c>
      <c r="M462" s="126">
        <v>0</v>
      </c>
      <c r="N462" s="126">
        <v>0</v>
      </c>
      <c r="O462" s="126">
        <v>1</v>
      </c>
      <c r="P462" s="126">
        <v>1</v>
      </c>
      <c r="Q462" s="126">
        <v>1</v>
      </c>
      <c r="R462" s="126"/>
      <c r="S462" s="126">
        <v>1</v>
      </c>
      <c r="T462" s="124"/>
      <c r="U462" s="126">
        <v>1</v>
      </c>
      <c r="V462" s="126">
        <v>1</v>
      </c>
      <c r="W462" s="126">
        <v>0</v>
      </c>
      <c r="X462" s="126">
        <v>0</v>
      </c>
      <c r="Y462" s="126">
        <v>0</v>
      </c>
      <c r="Z462" s="124">
        <v>0</v>
      </c>
      <c r="AA462" s="126">
        <v>0</v>
      </c>
      <c r="AB462" s="124"/>
      <c r="AC462" s="126">
        <v>0</v>
      </c>
      <c r="AD462" s="124">
        <v>0</v>
      </c>
      <c r="AE462" s="126">
        <v>0</v>
      </c>
      <c r="AF462" s="124">
        <v>0</v>
      </c>
      <c r="AG462" s="126">
        <v>2</v>
      </c>
      <c r="AH462" s="126">
        <v>2</v>
      </c>
      <c r="AI462" s="126"/>
      <c r="AJ462" s="126"/>
      <c r="AK462" s="105">
        <v>34</v>
      </c>
    </row>
    <row r="463" spans="1:37" s="127" customFormat="1" ht="15.75">
      <c r="A463" s="120">
        <v>461</v>
      </c>
      <c r="B463" s="126" t="s">
        <v>453</v>
      </c>
      <c r="C463" s="121" t="s">
        <v>323</v>
      </c>
      <c r="D463" s="122" t="str">
        <f>"9200294"</f>
        <v>9200294</v>
      </c>
      <c r="E463" s="121" t="s">
        <v>468</v>
      </c>
      <c r="F463" s="132" t="s">
        <v>27</v>
      </c>
      <c r="G463" s="122" t="s">
        <v>229</v>
      </c>
      <c r="H463" s="133" t="s">
        <v>229</v>
      </c>
      <c r="I463" s="126">
        <v>1</v>
      </c>
      <c r="J463" s="126">
        <v>0</v>
      </c>
      <c r="K463" s="126">
        <v>1</v>
      </c>
      <c r="L463" s="124">
        <v>1</v>
      </c>
      <c r="M463" s="126">
        <v>0</v>
      </c>
      <c r="N463" s="126">
        <v>0</v>
      </c>
      <c r="O463" s="126">
        <v>0</v>
      </c>
      <c r="P463" s="126"/>
      <c r="Q463" s="126">
        <v>0</v>
      </c>
      <c r="R463" s="126"/>
      <c r="S463" s="126">
        <v>1</v>
      </c>
      <c r="T463" s="124"/>
      <c r="U463" s="126">
        <v>1</v>
      </c>
      <c r="V463" s="126">
        <v>1</v>
      </c>
      <c r="W463" s="126">
        <v>0</v>
      </c>
      <c r="X463" s="126">
        <v>0</v>
      </c>
      <c r="Y463" s="126">
        <v>0</v>
      </c>
      <c r="Z463" s="124">
        <v>0</v>
      </c>
      <c r="AA463" s="126">
        <v>0</v>
      </c>
      <c r="AB463" s="124"/>
      <c r="AC463" s="126">
        <v>0</v>
      </c>
      <c r="AD463" s="124">
        <v>0</v>
      </c>
      <c r="AE463" s="126">
        <v>1</v>
      </c>
      <c r="AF463" s="124">
        <v>0</v>
      </c>
      <c r="AG463" s="126">
        <v>1</v>
      </c>
      <c r="AH463" s="126">
        <v>1</v>
      </c>
      <c r="AI463" s="126"/>
      <c r="AJ463" s="126"/>
      <c r="AK463" s="105">
        <v>36</v>
      </c>
    </row>
    <row r="464" spans="1:37" s="127" customFormat="1" ht="15.75">
      <c r="A464" s="120">
        <v>462</v>
      </c>
      <c r="B464" s="126" t="s">
        <v>453</v>
      </c>
      <c r="C464" s="121" t="s">
        <v>324</v>
      </c>
      <c r="D464" s="122" t="str">
        <f>"9200297"</f>
        <v>9200297</v>
      </c>
      <c r="E464" s="121" t="s">
        <v>468</v>
      </c>
      <c r="F464" s="132" t="s">
        <v>27</v>
      </c>
      <c r="G464" s="122" t="s">
        <v>229</v>
      </c>
      <c r="H464" s="133" t="s">
        <v>229</v>
      </c>
      <c r="I464" s="126">
        <v>2</v>
      </c>
      <c r="J464" s="126">
        <v>0</v>
      </c>
      <c r="K464" s="126">
        <v>1</v>
      </c>
      <c r="L464" s="124">
        <v>1</v>
      </c>
      <c r="M464" s="126">
        <v>1</v>
      </c>
      <c r="N464" s="126">
        <v>1</v>
      </c>
      <c r="O464" s="126">
        <v>0</v>
      </c>
      <c r="P464" s="126"/>
      <c r="Q464" s="126">
        <v>1</v>
      </c>
      <c r="R464" s="126"/>
      <c r="S464" s="126">
        <v>0</v>
      </c>
      <c r="T464" s="124"/>
      <c r="U464" s="126">
        <v>0</v>
      </c>
      <c r="V464" s="126"/>
      <c r="W464" s="126">
        <v>0</v>
      </c>
      <c r="X464" s="126">
        <v>0</v>
      </c>
      <c r="Y464" s="126">
        <v>0</v>
      </c>
      <c r="Z464" s="124">
        <v>0</v>
      </c>
      <c r="AA464" s="126">
        <v>0</v>
      </c>
      <c r="AB464" s="124"/>
      <c r="AC464" s="126">
        <v>0</v>
      </c>
      <c r="AD464" s="124">
        <v>0</v>
      </c>
      <c r="AE464" s="126">
        <v>0</v>
      </c>
      <c r="AF464" s="124">
        <v>0</v>
      </c>
      <c r="AG464" s="126">
        <v>0</v>
      </c>
      <c r="AH464" s="126">
        <v>0</v>
      </c>
      <c r="AI464" s="126"/>
      <c r="AJ464" s="126"/>
      <c r="AK464" s="105">
        <v>14</v>
      </c>
    </row>
    <row r="465" spans="1:37" s="127" customFormat="1" ht="15.75">
      <c r="A465" s="120">
        <v>463</v>
      </c>
      <c r="B465" s="126" t="s">
        <v>453</v>
      </c>
      <c r="C465" s="121" t="s">
        <v>325</v>
      </c>
      <c r="D465" s="122" t="str">
        <f>"9200299"</f>
        <v>9200299</v>
      </c>
      <c r="E465" s="121" t="s">
        <v>468</v>
      </c>
      <c r="F465" s="132" t="s">
        <v>27</v>
      </c>
      <c r="G465" s="122" t="s">
        <v>229</v>
      </c>
      <c r="H465" s="133" t="s">
        <v>229</v>
      </c>
      <c r="I465" s="126">
        <v>1</v>
      </c>
      <c r="J465" s="126">
        <v>0</v>
      </c>
      <c r="K465" s="126">
        <v>3</v>
      </c>
      <c r="L465" s="124">
        <v>1</v>
      </c>
      <c r="M465" s="126">
        <v>1</v>
      </c>
      <c r="N465" s="126">
        <v>1</v>
      </c>
      <c r="O465" s="126">
        <v>1</v>
      </c>
      <c r="P465" s="126"/>
      <c r="Q465" s="126">
        <v>1</v>
      </c>
      <c r="R465" s="126"/>
      <c r="S465" s="126">
        <v>0</v>
      </c>
      <c r="T465" s="124"/>
      <c r="U465" s="126">
        <v>1</v>
      </c>
      <c r="V465" s="126">
        <v>1</v>
      </c>
      <c r="W465" s="126">
        <v>1</v>
      </c>
      <c r="X465" s="126">
        <v>1</v>
      </c>
      <c r="Y465" s="126">
        <v>1</v>
      </c>
      <c r="Z465" s="124">
        <v>0</v>
      </c>
      <c r="AA465" s="126">
        <v>0</v>
      </c>
      <c r="AB465" s="124"/>
      <c r="AC465" s="126">
        <v>0</v>
      </c>
      <c r="AD465" s="124">
        <v>0</v>
      </c>
      <c r="AE465" s="126">
        <v>1</v>
      </c>
      <c r="AF465" s="124">
        <v>0</v>
      </c>
      <c r="AG465" s="126">
        <v>1</v>
      </c>
      <c r="AH465" s="126">
        <v>1</v>
      </c>
      <c r="AI465" s="126"/>
      <c r="AJ465" s="126"/>
      <c r="AK465" s="105">
        <v>32</v>
      </c>
    </row>
    <row r="466" spans="1:37" s="127" customFormat="1" ht="15.75">
      <c r="A466" s="120">
        <v>464</v>
      </c>
      <c r="B466" s="126" t="s">
        <v>453</v>
      </c>
      <c r="C466" s="121" t="s">
        <v>341</v>
      </c>
      <c r="D466" s="122" t="str">
        <f>"9200317"</f>
        <v>9200317</v>
      </c>
      <c r="E466" s="121" t="s">
        <v>468</v>
      </c>
      <c r="F466" s="132" t="s">
        <v>27</v>
      </c>
      <c r="G466" s="122" t="s">
        <v>229</v>
      </c>
      <c r="H466" s="133" t="s">
        <v>342</v>
      </c>
      <c r="I466" s="126"/>
      <c r="J466" s="126">
        <v>0</v>
      </c>
      <c r="K466" s="126"/>
      <c r="L466" s="124"/>
      <c r="M466" s="126"/>
      <c r="N466" s="126">
        <v>0</v>
      </c>
      <c r="O466" s="126"/>
      <c r="P466" s="126"/>
      <c r="Q466" s="126"/>
      <c r="R466" s="126"/>
      <c r="S466" s="126"/>
      <c r="T466" s="124"/>
      <c r="U466" s="126"/>
      <c r="V466" s="126"/>
      <c r="W466" s="126"/>
      <c r="X466" s="126"/>
      <c r="Y466" s="126"/>
      <c r="Z466" s="124">
        <v>0</v>
      </c>
      <c r="AA466" s="126"/>
      <c r="AB466" s="124"/>
      <c r="AC466" s="126"/>
      <c r="AD466" s="124">
        <v>0</v>
      </c>
      <c r="AE466" s="126"/>
      <c r="AF466" s="124">
        <v>0</v>
      </c>
      <c r="AG466" s="126"/>
      <c r="AH466" s="126"/>
      <c r="AI466" s="126"/>
      <c r="AJ466" s="126"/>
      <c r="AK466" s="105">
        <v>7</v>
      </c>
    </row>
    <row r="467" spans="1:37" s="127" customFormat="1" ht="15.75">
      <c r="A467" s="120">
        <v>465</v>
      </c>
      <c r="B467" s="126" t="s">
        <v>453</v>
      </c>
      <c r="C467" s="121" t="s">
        <v>351</v>
      </c>
      <c r="D467" s="122" t="str">
        <f>"9200524"</f>
        <v>9200524</v>
      </c>
      <c r="E467" s="121" t="s">
        <v>468</v>
      </c>
      <c r="F467" s="132" t="s">
        <v>27</v>
      </c>
      <c r="G467" s="122" t="s">
        <v>229</v>
      </c>
      <c r="H467" s="133" t="s">
        <v>229</v>
      </c>
      <c r="I467" s="126"/>
      <c r="J467" s="126">
        <v>0</v>
      </c>
      <c r="K467" s="126"/>
      <c r="L467" s="124"/>
      <c r="M467" s="126"/>
      <c r="N467" s="126">
        <v>0</v>
      </c>
      <c r="O467" s="126"/>
      <c r="P467" s="126"/>
      <c r="Q467" s="126"/>
      <c r="R467" s="126"/>
      <c r="S467" s="126"/>
      <c r="T467" s="124"/>
      <c r="U467" s="126"/>
      <c r="V467" s="126"/>
      <c r="W467" s="126"/>
      <c r="X467" s="126"/>
      <c r="Y467" s="126"/>
      <c r="Z467" s="124">
        <v>0</v>
      </c>
      <c r="AA467" s="126"/>
      <c r="AB467" s="124"/>
      <c r="AC467" s="126"/>
      <c r="AD467" s="124">
        <v>0</v>
      </c>
      <c r="AE467" s="126"/>
      <c r="AF467" s="124">
        <v>0</v>
      </c>
      <c r="AG467" s="126"/>
      <c r="AH467" s="126"/>
      <c r="AI467" s="126"/>
      <c r="AJ467" s="126"/>
      <c r="AK467" s="105">
        <v>2</v>
      </c>
    </row>
    <row r="468" spans="1:37" s="127" customFormat="1" ht="15.75">
      <c r="A468" s="120">
        <v>466</v>
      </c>
      <c r="B468" s="126" t="s">
        <v>453</v>
      </c>
      <c r="C468" s="121" t="s">
        <v>358</v>
      </c>
      <c r="D468" s="122" t="str">
        <f>"9200086"</f>
        <v>9200086</v>
      </c>
      <c r="E468" s="121" t="s">
        <v>468</v>
      </c>
      <c r="F468" s="132" t="s">
        <v>27</v>
      </c>
      <c r="G468" s="122" t="s">
        <v>227</v>
      </c>
      <c r="H468" s="133" t="s">
        <v>227</v>
      </c>
      <c r="I468" s="126">
        <v>0</v>
      </c>
      <c r="J468" s="126">
        <v>0</v>
      </c>
      <c r="K468" s="126">
        <v>0</v>
      </c>
      <c r="L468" s="124"/>
      <c r="M468" s="126">
        <v>1</v>
      </c>
      <c r="N468" s="126">
        <v>1</v>
      </c>
      <c r="O468" s="126">
        <v>1</v>
      </c>
      <c r="P468" s="126"/>
      <c r="Q468" s="126">
        <v>1</v>
      </c>
      <c r="R468" s="126"/>
      <c r="S468" s="126">
        <v>1</v>
      </c>
      <c r="T468" s="124"/>
      <c r="U468" s="126">
        <v>1</v>
      </c>
      <c r="V468" s="126">
        <v>1</v>
      </c>
      <c r="W468" s="126">
        <v>0</v>
      </c>
      <c r="X468" s="126">
        <v>0</v>
      </c>
      <c r="Y468" s="126">
        <v>0</v>
      </c>
      <c r="Z468" s="124">
        <v>0</v>
      </c>
      <c r="AA468" s="126">
        <v>0</v>
      </c>
      <c r="AB468" s="124"/>
      <c r="AC468" s="126">
        <v>0</v>
      </c>
      <c r="AD468" s="124">
        <v>0</v>
      </c>
      <c r="AE468" s="126">
        <v>1</v>
      </c>
      <c r="AF468" s="124">
        <v>0</v>
      </c>
      <c r="AG468" s="126">
        <v>1</v>
      </c>
      <c r="AH468" s="126">
        <v>1</v>
      </c>
      <c r="AI468" s="126"/>
      <c r="AJ468" s="126"/>
      <c r="AK468" s="105">
        <v>14</v>
      </c>
    </row>
    <row r="469" spans="1:37" s="127" customFormat="1" ht="15.75">
      <c r="A469" s="120">
        <v>467</v>
      </c>
      <c r="B469" s="126" t="s">
        <v>453</v>
      </c>
      <c r="C469" s="121" t="s">
        <v>333</v>
      </c>
      <c r="D469" s="122" t="str">
        <f>"9200089"</f>
        <v>9200089</v>
      </c>
      <c r="E469" s="121" t="s">
        <v>468</v>
      </c>
      <c r="F469" s="132" t="s">
        <v>27</v>
      </c>
      <c r="G469" s="122" t="s">
        <v>227</v>
      </c>
      <c r="H469" s="133" t="s">
        <v>472</v>
      </c>
      <c r="I469" s="126">
        <v>1</v>
      </c>
      <c r="J469" s="126">
        <v>0</v>
      </c>
      <c r="K469" s="126">
        <v>1</v>
      </c>
      <c r="L469" s="124">
        <v>1</v>
      </c>
      <c r="M469" s="126">
        <v>0</v>
      </c>
      <c r="N469" s="126">
        <v>0</v>
      </c>
      <c r="O469" s="126">
        <v>0</v>
      </c>
      <c r="P469" s="126"/>
      <c r="Q469" s="126">
        <v>0</v>
      </c>
      <c r="R469" s="126"/>
      <c r="S469" s="126">
        <v>0</v>
      </c>
      <c r="T469" s="124"/>
      <c r="U469" s="126">
        <v>0</v>
      </c>
      <c r="V469" s="126"/>
      <c r="W469" s="126">
        <v>0</v>
      </c>
      <c r="X469" s="126">
        <v>0</v>
      </c>
      <c r="Y469" s="126">
        <v>0</v>
      </c>
      <c r="Z469" s="124">
        <v>0</v>
      </c>
      <c r="AA469" s="126">
        <v>0</v>
      </c>
      <c r="AB469" s="124"/>
      <c r="AC469" s="126">
        <v>0</v>
      </c>
      <c r="AD469" s="124">
        <v>0</v>
      </c>
      <c r="AE469" s="126">
        <v>0</v>
      </c>
      <c r="AF469" s="124">
        <v>0</v>
      </c>
      <c r="AG469" s="126">
        <v>1</v>
      </c>
      <c r="AH469" s="126">
        <v>1</v>
      </c>
      <c r="AI469" s="126"/>
      <c r="AJ469" s="126"/>
      <c r="AK469" s="105">
        <v>4</v>
      </c>
    </row>
    <row r="470" spans="1:37" s="127" customFormat="1" ht="15.75">
      <c r="A470" s="120">
        <v>468</v>
      </c>
      <c r="B470" s="126" t="s">
        <v>453</v>
      </c>
      <c r="C470" s="121" t="s">
        <v>359</v>
      </c>
      <c r="D470" s="122" t="str">
        <f>"9200093"</f>
        <v>9200093</v>
      </c>
      <c r="E470" s="121" t="s">
        <v>468</v>
      </c>
      <c r="F470" s="132" t="s">
        <v>27</v>
      </c>
      <c r="G470" s="122" t="s">
        <v>227</v>
      </c>
      <c r="H470" s="133" t="s">
        <v>360</v>
      </c>
      <c r="I470" s="126"/>
      <c r="J470" s="126">
        <v>0</v>
      </c>
      <c r="K470" s="126"/>
      <c r="L470" s="124"/>
      <c r="M470" s="126"/>
      <c r="N470" s="126">
        <v>0</v>
      </c>
      <c r="O470" s="126"/>
      <c r="P470" s="126"/>
      <c r="Q470" s="126"/>
      <c r="R470" s="126"/>
      <c r="S470" s="126"/>
      <c r="T470" s="124"/>
      <c r="U470" s="126"/>
      <c r="V470" s="126"/>
      <c r="W470" s="126"/>
      <c r="X470" s="126"/>
      <c r="Y470" s="126"/>
      <c r="Z470" s="124">
        <v>0</v>
      </c>
      <c r="AA470" s="126"/>
      <c r="AB470" s="124"/>
      <c r="AC470" s="126"/>
      <c r="AD470" s="124">
        <v>0</v>
      </c>
      <c r="AE470" s="126"/>
      <c r="AF470" s="124">
        <v>0</v>
      </c>
      <c r="AG470" s="126"/>
      <c r="AH470" s="126"/>
      <c r="AI470" s="126"/>
      <c r="AJ470" s="126"/>
      <c r="AK470" s="105">
        <v>29</v>
      </c>
    </row>
    <row r="471" spans="1:37" s="127" customFormat="1" ht="15.75">
      <c r="A471" s="120">
        <v>469</v>
      </c>
      <c r="B471" s="126" t="s">
        <v>453</v>
      </c>
      <c r="C471" s="121" t="s">
        <v>377</v>
      </c>
      <c r="D471" s="122" t="str">
        <f>"9200094"</f>
        <v>9200094</v>
      </c>
      <c r="E471" s="121" t="s">
        <v>468</v>
      </c>
      <c r="F471" s="132" t="s">
        <v>27</v>
      </c>
      <c r="G471" s="122" t="s">
        <v>227</v>
      </c>
      <c r="H471" s="133" t="s">
        <v>233</v>
      </c>
      <c r="I471" s="126"/>
      <c r="J471" s="126">
        <v>0</v>
      </c>
      <c r="K471" s="126"/>
      <c r="L471" s="124">
        <v>1</v>
      </c>
      <c r="M471" s="126"/>
      <c r="N471" s="126">
        <v>0</v>
      </c>
      <c r="O471" s="126"/>
      <c r="P471" s="126"/>
      <c r="Q471" s="126"/>
      <c r="R471" s="126"/>
      <c r="S471" s="126"/>
      <c r="T471" s="124"/>
      <c r="U471" s="126"/>
      <c r="V471" s="126"/>
      <c r="W471" s="126"/>
      <c r="X471" s="126"/>
      <c r="Y471" s="126"/>
      <c r="Z471" s="124">
        <v>0</v>
      </c>
      <c r="AA471" s="126"/>
      <c r="AB471" s="124"/>
      <c r="AC471" s="126"/>
      <c r="AD471" s="124">
        <v>0</v>
      </c>
      <c r="AE471" s="126"/>
      <c r="AF471" s="124">
        <v>0</v>
      </c>
      <c r="AG471" s="126"/>
      <c r="AH471" s="126"/>
      <c r="AI471" s="126"/>
      <c r="AJ471" s="126"/>
      <c r="AK471" s="105">
        <v>43</v>
      </c>
    </row>
    <row r="472" spans="1:37" s="127" customFormat="1" ht="15.75">
      <c r="A472" s="120">
        <v>470</v>
      </c>
      <c r="B472" s="126" t="s">
        <v>453</v>
      </c>
      <c r="C472" s="121" t="s">
        <v>336</v>
      </c>
      <c r="D472" s="122" t="str">
        <f>"9200283"</f>
        <v>9200283</v>
      </c>
      <c r="E472" s="121" t="s">
        <v>468</v>
      </c>
      <c r="F472" s="132" t="s">
        <v>27</v>
      </c>
      <c r="G472" s="122" t="s">
        <v>227</v>
      </c>
      <c r="H472" s="133" t="s">
        <v>473</v>
      </c>
      <c r="I472" s="126">
        <v>1</v>
      </c>
      <c r="J472" s="126">
        <v>0</v>
      </c>
      <c r="K472" s="126">
        <v>1</v>
      </c>
      <c r="L472" s="124">
        <v>1</v>
      </c>
      <c r="M472" s="126">
        <v>0</v>
      </c>
      <c r="N472" s="126">
        <v>0</v>
      </c>
      <c r="O472" s="126">
        <v>0</v>
      </c>
      <c r="P472" s="126"/>
      <c r="Q472" s="126">
        <v>0</v>
      </c>
      <c r="R472" s="126"/>
      <c r="S472" s="126">
        <v>1</v>
      </c>
      <c r="T472" s="124"/>
      <c r="U472" s="126">
        <v>1</v>
      </c>
      <c r="V472" s="126">
        <v>1</v>
      </c>
      <c r="W472" s="126">
        <v>0</v>
      </c>
      <c r="X472" s="126">
        <v>0</v>
      </c>
      <c r="Y472" s="126">
        <v>0</v>
      </c>
      <c r="Z472" s="124">
        <v>0</v>
      </c>
      <c r="AA472" s="126">
        <v>0</v>
      </c>
      <c r="AB472" s="124"/>
      <c r="AC472" s="126">
        <v>0</v>
      </c>
      <c r="AD472" s="124">
        <v>0</v>
      </c>
      <c r="AE472" s="126">
        <v>1</v>
      </c>
      <c r="AF472" s="124">
        <v>0</v>
      </c>
      <c r="AG472" s="126">
        <v>1</v>
      </c>
      <c r="AH472" s="126">
        <v>1</v>
      </c>
      <c r="AI472" s="126"/>
      <c r="AJ472" s="126"/>
      <c r="AK472" s="105"/>
    </row>
    <row r="473" spans="1:37" s="127" customFormat="1" ht="15.75">
      <c r="A473" s="120">
        <v>471</v>
      </c>
      <c r="B473" s="126" t="s">
        <v>453</v>
      </c>
      <c r="C473" s="121" t="s">
        <v>362</v>
      </c>
      <c r="D473" s="122" t="str">
        <f>"9200537"</f>
        <v>9200537</v>
      </c>
      <c r="E473" s="121" t="s">
        <v>468</v>
      </c>
      <c r="F473" s="132" t="s">
        <v>27</v>
      </c>
      <c r="G473" s="122" t="s">
        <v>227</v>
      </c>
      <c r="H473" s="133" t="s">
        <v>502</v>
      </c>
      <c r="I473" s="126">
        <v>1</v>
      </c>
      <c r="J473" s="126">
        <v>0</v>
      </c>
      <c r="K473" s="126">
        <v>1</v>
      </c>
      <c r="L473" s="124">
        <v>1</v>
      </c>
      <c r="M473" s="126">
        <v>1</v>
      </c>
      <c r="N473" s="126">
        <v>1</v>
      </c>
      <c r="O473" s="126">
        <v>0</v>
      </c>
      <c r="P473" s="126"/>
      <c r="Q473" s="126">
        <v>0</v>
      </c>
      <c r="R473" s="126"/>
      <c r="S473" s="126">
        <v>1</v>
      </c>
      <c r="T473" s="124"/>
      <c r="U473" s="126">
        <v>0</v>
      </c>
      <c r="V473" s="126">
        <v>1</v>
      </c>
      <c r="W473" s="126">
        <v>1</v>
      </c>
      <c r="X473" s="126">
        <v>1</v>
      </c>
      <c r="Y473" s="126">
        <v>0</v>
      </c>
      <c r="Z473" s="124">
        <v>0</v>
      </c>
      <c r="AA473" s="126">
        <v>0</v>
      </c>
      <c r="AB473" s="124"/>
      <c r="AC473" s="126">
        <v>0</v>
      </c>
      <c r="AD473" s="124">
        <v>0</v>
      </c>
      <c r="AE473" s="126">
        <v>0</v>
      </c>
      <c r="AF473" s="124">
        <v>0</v>
      </c>
      <c r="AG473" s="126">
        <v>0</v>
      </c>
      <c r="AH473" s="126">
        <v>0</v>
      </c>
      <c r="AI473" s="126"/>
      <c r="AJ473" s="126"/>
      <c r="AK473" s="105">
        <v>3</v>
      </c>
    </row>
    <row r="474" spans="1:37" s="127" customFormat="1" ht="15.75">
      <c r="A474" s="120">
        <v>472</v>
      </c>
      <c r="B474" s="126" t="s">
        <v>453</v>
      </c>
      <c r="C474" s="121" t="s">
        <v>347</v>
      </c>
      <c r="D474" s="122" t="str">
        <f>"9200291"</f>
        <v>9200291</v>
      </c>
      <c r="E474" s="121" t="s">
        <v>468</v>
      </c>
      <c r="F474" s="132" t="s">
        <v>27</v>
      </c>
      <c r="G474" s="122" t="s">
        <v>225</v>
      </c>
      <c r="H474" s="133" t="s">
        <v>348</v>
      </c>
      <c r="I474" s="126"/>
      <c r="J474" s="126">
        <v>0</v>
      </c>
      <c r="K474" s="126"/>
      <c r="L474" s="124"/>
      <c r="M474" s="126"/>
      <c r="N474" s="126">
        <v>0</v>
      </c>
      <c r="O474" s="126"/>
      <c r="P474" s="126"/>
      <c r="Q474" s="126"/>
      <c r="R474" s="126"/>
      <c r="S474" s="126"/>
      <c r="T474" s="124"/>
      <c r="U474" s="126"/>
      <c r="V474" s="126"/>
      <c r="W474" s="126"/>
      <c r="X474" s="126"/>
      <c r="Y474" s="126"/>
      <c r="Z474" s="124">
        <v>0</v>
      </c>
      <c r="AA474" s="126"/>
      <c r="AB474" s="124"/>
      <c r="AC474" s="126"/>
      <c r="AD474" s="124">
        <v>0</v>
      </c>
      <c r="AE474" s="126"/>
      <c r="AF474" s="124">
        <v>0</v>
      </c>
      <c r="AG474" s="126"/>
      <c r="AH474" s="126"/>
      <c r="AI474" s="126"/>
      <c r="AJ474" s="126"/>
      <c r="AK474" s="105">
        <v>2</v>
      </c>
    </row>
    <row r="475" spans="1:37" s="127" customFormat="1" ht="15.75">
      <c r="A475" s="120">
        <v>473</v>
      </c>
      <c r="B475" s="126" t="s">
        <v>453</v>
      </c>
      <c r="C475" s="121" t="s">
        <v>370</v>
      </c>
      <c r="D475" s="122" t="str">
        <f>"9200377"</f>
        <v>9200377</v>
      </c>
      <c r="E475" s="121" t="s">
        <v>468</v>
      </c>
      <c r="F475" s="132" t="s">
        <v>27</v>
      </c>
      <c r="G475" s="122" t="s">
        <v>225</v>
      </c>
      <c r="H475" s="133" t="s">
        <v>231</v>
      </c>
      <c r="I475" s="126">
        <v>1</v>
      </c>
      <c r="J475" s="126">
        <v>0</v>
      </c>
      <c r="K475" s="126">
        <v>0</v>
      </c>
      <c r="L475" s="124"/>
      <c r="M475" s="126">
        <v>0</v>
      </c>
      <c r="N475" s="126">
        <v>0</v>
      </c>
      <c r="O475" s="126">
        <v>1</v>
      </c>
      <c r="P475" s="126">
        <v>1</v>
      </c>
      <c r="Q475" s="126">
        <v>0</v>
      </c>
      <c r="R475" s="126"/>
      <c r="S475" s="126">
        <v>0</v>
      </c>
      <c r="T475" s="124"/>
      <c r="U475" s="126">
        <v>0</v>
      </c>
      <c r="V475" s="126"/>
      <c r="W475" s="126">
        <v>0</v>
      </c>
      <c r="X475" s="126">
        <v>0</v>
      </c>
      <c r="Y475" s="126">
        <v>0</v>
      </c>
      <c r="Z475" s="124">
        <v>0</v>
      </c>
      <c r="AA475" s="126">
        <v>0</v>
      </c>
      <c r="AB475" s="124"/>
      <c r="AC475" s="126">
        <v>0</v>
      </c>
      <c r="AD475" s="124">
        <v>0</v>
      </c>
      <c r="AE475" s="126">
        <v>0</v>
      </c>
      <c r="AF475" s="124">
        <v>0</v>
      </c>
      <c r="AG475" s="126">
        <v>0</v>
      </c>
      <c r="AH475" s="126">
        <v>0</v>
      </c>
      <c r="AI475" s="126"/>
      <c r="AJ475" s="126"/>
      <c r="AK475" s="105">
        <v>2</v>
      </c>
    </row>
    <row r="476" spans="1:37" s="127" customFormat="1" ht="15.75">
      <c r="A476" s="120">
        <v>474</v>
      </c>
      <c r="B476" s="126" t="s">
        <v>453</v>
      </c>
      <c r="C476" s="121" t="s">
        <v>340</v>
      </c>
      <c r="D476" s="122" t="str">
        <f>"9200387"</f>
        <v>9200387</v>
      </c>
      <c r="E476" s="121" t="s">
        <v>468</v>
      </c>
      <c r="F476" s="132" t="s">
        <v>27</v>
      </c>
      <c r="G476" s="122" t="s">
        <v>225</v>
      </c>
      <c r="H476" s="133" t="s">
        <v>235</v>
      </c>
      <c r="I476" s="126"/>
      <c r="J476" s="126">
        <v>0</v>
      </c>
      <c r="K476" s="126"/>
      <c r="L476" s="124"/>
      <c r="M476" s="126"/>
      <c r="N476" s="126">
        <v>0</v>
      </c>
      <c r="O476" s="126"/>
      <c r="P476" s="126"/>
      <c r="Q476" s="126"/>
      <c r="R476" s="126"/>
      <c r="S476" s="126"/>
      <c r="T476" s="124"/>
      <c r="U476" s="126"/>
      <c r="V476" s="126"/>
      <c r="W476" s="126"/>
      <c r="X476" s="126"/>
      <c r="Y476" s="126"/>
      <c r="Z476" s="124">
        <v>0</v>
      </c>
      <c r="AA476" s="126"/>
      <c r="AB476" s="124"/>
      <c r="AC476" s="126"/>
      <c r="AD476" s="124">
        <v>0</v>
      </c>
      <c r="AE476" s="126"/>
      <c r="AF476" s="124">
        <v>0</v>
      </c>
      <c r="AG476" s="126"/>
      <c r="AH476" s="126"/>
      <c r="AI476" s="126"/>
      <c r="AJ476" s="126"/>
      <c r="AK476" s="105">
        <v>5</v>
      </c>
    </row>
    <row r="477" spans="1:37" s="127" customFormat="1" ht="15.75">
      <c r="A477" s="120">
        <v>475</v>
      </c>
      <c r="B477" s="126" t="s">
        <v>453</v>
      </c>
      <c r="C477" s="121" t="s">
        <v>350</v>
      </c>
      <c r="D477" s="122" t="str">
        <f>"9200396"</f>
        <v>9200396</v>
      </c>
      <c r="E477" s="121" t="s">
        <v>468</v>
      </c>
      <c r="F477" s="132" t="s">
        <v>27</v>
      </c>
      <c r="G477" s="122" t="s">
        <v>225</v>
      </c>
      <c r="H477" s="133" t="s">
        <v>479</v>
      </c>
      <c r="I477" s="126">
        <v>1</v>
      </c>
      <c r="J477" s="126">
        <v>0</v>
      </c>
      <c r="K477" s="126">
        <v>1</v>
      </c>
      <c r="L477" s="124">
        <v>1</v>
      </c>
      <c r="M477" s="126">
        <v>0</v>
      </c>
      <c r="N477" s="126">
        <v>0</v>
      </c>
      <c r="O477" s="126">
        <v>0</v>
      </c>
      <c r="P477" s="126"/>
      <c r="Q477" s="126">
        <v>1</v>
      </c>
      <c r="R477" s="126"/>
      <c r="S477" s="126">
        <v>0</v>
      </c>
      <c r="T477" s="124"/>
      <c r="U477" s="126">
        <v>1</v>
      </c>
      <c r="V477" s="126"/>
      <c r="W477" s="126">
        <v>1</v>
      </c>
      <c r="X477" s="126">
        <v>1</v>
      </c>
      <c r="Y477" s="126">
        <v>0</v>
      </c>
      <c r="Z477" s="124">
        <v>0</v>
      </c>
      <c r="AA477" s="126">
        <v>0</v>
      </c>
      <c r="AB477" s="124"/>
      <c r="AC477" s="126">
        <v>0</v>
      </c>
      <c r="AD477" s="124">
        <v>0</v>
      </c>
      <c r="AE477" s="126">
        <v>0</v>
      </c>
      <c r="AF477" s="124">
        <v>0</v>
      </c>
      <c r="AG477" s="126">
        <v>0</v>
      </c>
      <c r="AH477" s="126">
        <v>0</v>
      </c>
      <c r="AI477" s="126"/>
      <c r="AJ477" s="126"/>
      <c r="AK477" s="105">
        <v>14</v>
      </c>
    </row>
    <row r="478" spans="1:37" s="127" customFormat="1" ht="15.75">
      <c r="A478" s="120">
        <v>476</v>
      </c>
      <c r="B478" s="126" t="s">
        <v>453</v>
      </c>
      <c r="C478" s="121" t="s">
        <v>830</v>
      </c>
      <c r="D478" s="122" t="str">
        <f>"9200020"</f>
        <v>9200020</v>
      </c>
      <c r="E478" s="121"/>
      <c r="F478" s="132"/>
      <c r="G478" s="122"/>
      <c r="H478" s="133"/>
      <c r="I478" s="126"/>
      <c r="J478" s="126">
        <v>0</v>
      </c>
      <c r="K478" s="126"/>
      <c r="L478" s="124"/>
      <c r="M478" s="126"/>
      <c r="N478" s="126">
        <v>0</v>
      </c>
      <c r="O478" s="126"/>
      <c r="P478" s="126"/>
      <c r="Q478" s="126"/>
      <c r="R478" s="126"/>
      <c r="S478" s="126"/>
      <c r="T478" s="124"/>
      <c r="U478" s="126"/>
      <c r="V478" s="126"/>
      <c r="W478" s="126"/>
      <c r="X478" s="126"/>
      <c r="Y478" s="126"/>
      <c r="Z478" s="124">
        <v>0</v>
      </c>
      <c r="AA478" s="126"/>
      <c r="AB478" s="124"/>
      <c r="AC478" s="126"/>
      <c r="AD478" s="124">
        <v>0</v>
      </c>
      <c r="AE478" s="126"/>
      <c r="AF478" s="124">
        <v>0</v>
      </c>
      <c r="AG478" s="126"/>
      <c r="AH478" s="126"/>
      <c r="AI478" s="126"/>
      <c r="AJ478" s="126"/>
      <c r="AK478" s="105"/>
    </row>
    <row r="479" spans="1:37" s="127" customFormat="1" ht="15.75">
      <c r="A479" s="120">
        <v>477</v>
      </c>
      <c r="B479" s="126" t="s">
        <v>658</v>
      </c>
      <c r="C479" s="135" t="s">
        <v>584</v>
      </c>
      <c r="D479" s="122" t="str">
        <f>"9400002"</f>
        <v>9400002</v>
      </c>
      <c r="E479" s="135" t="s">
        <v>467</v>
      </c>
      <c r="F479" s="126" t="s">
        <v>28</v>
      </c>
      <c r="G479" s="121" t="s">
        <v>283</v>
      </c>
      <c r="H479" s="126" t="s">
        <v>286</v>
      </c>
      <c r="I479" s="126">
        <v>25</v>
      </c>
      <c r="J479" s="126">
        <v>3</v>
      </c>
      <c r="K479" s="126">
        <v>9</v>
      </c>
      <c r="L479" s="124">
        <v>1</v>
      </c>
      <c r="M479" s="126">
        <v>7</v>
      </c>
      <c r="N479" s="126">
        <v>1</v>
      </c>
      <c r="O479" s="126">
        <v>3</v>
      </c>
      <c r="P479" s="126"/>
      <c r="Q479" s="126">
        <v>2</v>
      </c>
      <c r="R479" s="126">
        <v>1</v>
      </c>
      <c r="S479" s="126">
        <v>1</v>
      </c>
      <c r="T479" s="124"/>
      <c r="U479" s="126">
        <v>3</v>
      </c>
      <c r="V479" s="126"/>
      <c r="W479" s="126">
        <v>2</v>
      </c>
      <c r="X479" s="126">
        <v>2</v>
      </c>
      <c r="Y479" s="126">
        <v>1</v>
      </c>
      <c r="Z479" s="124">
        <v>1</v>
      </c>
      <c r="AA479" s="126">
        <v>0</v>
      </c>
      <c r="AB479" s="124">
        <v>0</v>
      </c>
      <c r="AC479" s="126">
        <v>0</v>
      </c>
      <c r="AD479" s="124">
        <v>0</v>
      </c>
      <c r="AE479" s="126">
        <v>5</v>
      </c>
      <c r="AF479" s="124">
        <v>0</v>
      </c>
      <c r="AG479" s="126">
        <v>0</v>
      </c>
      <c r="AH479" s="126">
        <v>0</v>
      </c>
      <c r="AI479" s="126"/>
      <c r="AJ479" s="126"/>
      <c r="AK479" s="101">
        <v>80</v>
      </c>
    </row>
    <row r="480" spans="1:37" s="127" customFormat="1" ht="15.75">
      <c r="A480" s="120">
        <v>478</v>
      </c>
      <c r="B480" s="126" t="s">
        <v>658</v>
      </c>
      <c r="C480" s="135" t="s">
        <v>586</v>
      </c>
      <c r="D480" s="122" t="str">
        <f>"9400012"</f>
        <v>9400012</v>
      </c>
      <c r="E480" s="135" t="s">
        <v>467</v>
      </c>
      <c r="F480" s="126" t="s">
        <v>28</v>
      </c>
      <c r="G480" s="121" t="s">
        <v>283</v>
      </c>
      <c r="H480" s="126" t="s">
        <v>285</v>
      </c>
      <c r="I480" s="126">
        <v>0</v>
      </c>
      <c r="J480" s="126">
        <v>0</v>
      </c>
      <c r="K480" s="126">
        <v>2</v>
      </c>
      <c r="L480" s="124">
        <v>1</v>
      </c>
      <c r="M480" s="126">
        <v>0</v>
      </c>
      <c r="N480" s="126"/>
      <c r="O480" s="126">
        <v>4</v>
      </c>
      <c r="P480" s="126">
        <v>1</v>
      </c>
      <c r="Q480" s="126">
        <v>0</v>
      </c>
      <c r="R480" s="126"/>
      <c r="S480" s="126">
        <v>0</v>
      </c>
      <c r="T480" s="124"/>
      <c r="U480" s="126">
        <v>0</v>
      </c>
      <c r="V480" s="126"/>
      <c r="W480" s="126">
        <v>0</v>
      </c>
      <c r="X480" s="126">
        <v>0</v>
      </c>
      <c r="Y480" s="126">
        <v>0</v>
      </c>
      <c r="Z480" s="124">
        <v>0</v>
      </c>
      <c r="AA480" s="126">
        <v>0</v>
      </c>
      <c r="AB480" s="124">
        <v>0</v>
      </c>
      <c r="AC480" s="126">
        <v>0</v>
      </c>
      <c r="AD480" s="124">
        <v>0</v>
      </c>
      <c r="AE480" s="126">
        <v>2</v>
      </c>
      <c r="AF480" s="124">
        <v>0</v>
      </c>
      <c r="AG480" s="126">
        <v>0</v>
      </c>
      <c r="AH480" s="126">
        <v>0</v>
      </c>
      <c r="AI480" s="126" t="s">
        <v>841</v>
      </c>
      <c r="AJ480" s="126" t="s">
        <v>841</v>
      </c>
      <c r="AK480" s="101">
        <v>162</v>
      </c>
    </row>
    <row r="481" spans="1:37" s="127" customFormat="1" ht="15.75">
      <c r="A481" s="120">
        <v>479</v>
      </c>
      <c r="B481" s="126" t="s">
        <v>658</v>
      </c>
      <c r="C481" s="135" t="s">
        <v>591</v>
      </c>
      <c r="D481" s="122" t="str">
        <f>"9400014"</f>
        <v>9400014</v>
      </c>
      <c r="E481" s="135" t="s">
        <v>467</v>
      </c>
      <c r="F481" s="126" t="s">
        <v>28</v>
      </c>
      <c r="G481" s="121" t="s">
        <v>283</v>
      </c>
      <c r="H481" s="126" t="s">
        <v>285</v>
      </c>
      <c r="I481" s="126"/>
      <c r="J481" s="126"/>
      <c r="K481" s="126">
        <v>1</v>
      </c>
      <c r="L481" s="124">
        <v>1</v>
      </c>
      <c r="M481" s="126">
        <v>4</v>
      </c>
      <c r="N481" s="126">
        <v>1</v>
      </c>
      <c r="O481" s="126">
        <v>4</v>
      </c>
      <c r="P481" s="126"/>
      <c r="Q481" s="126">
        <v>2</v>
      </c>
      <c r="R481" s="126">
        <v>1</v>
      </c>
      <c r="S481" s="126">
        <v>1</v>
      </c>
      <c r="T481" s="124"/>
      <c r="U481" s="126">
        <v>2</v>
      </c>
      <c r="V481" s="126"/>
      <c r="W481" s="126">
        <v>2</v>
      </c>
      <c r="X481" s="126">
        <v>2</v>
      </c>
      <c r="Y481" s="126">
        <v>0</v>
      </c>
      <c r="Z481" s="124">
        <v>0</v>
      </c>
      <c r="AA481" s="126">
        <v>0</v>
      </c>
      <c r="AB481" s="124">
        <v>0</v>
      </c>
      <c r="AC481" s="126">
        <v>0</v>
      </c>
      <c r="AD481" s="124">
        <v>0</v>
      </c>
      <c r="AE481" s="126">
        <v>2</v>
      </c>
      <c r="AF481" s="124">
        <v>0</v>
      </c>
      <c r="AG481" s="126">
        <v>0</v>
      </c>
      <c r="AH481" s="126">
        <v>0</v>
      </c>
      <c r="AI481" s="126" t="s">
        <v>834</v>
      </c>
      <c r="AJ481" s="126" t="s">
        <v>834</v>
      </c>
      <c r="AK481" s="101">
        <v>179</v>
      </c>
    </row>
    <row r="482" spans="1:37" s="127" customFormat="1" ht="15.75">
      <c r="A482" s="120">
        <v>480</v>
      </c>
      <c r="B482" s="126" t="s">
        <v>658</v>
      </c>
      <c r="C482" s="135" t="s">
        <v>592</v>
      </c>
      <c r="D482" s="122" t="str">
        <f>"9400015"</f>
        <v>9400015</v>
      </c>
      <c r="E482" s="135" t="s">
        <v>467</v>
      </c>
      <c r="F482" s="126" t="s">
        <v>28</v>
      </c>
      <c r="G482" s="121" t="s">
        <v>283</v>
      </c>
      <c r="H482" s="126" t="s">
        <v>285</v>
      </c>
      <c r="I482" s="126"/>
      <c r="J482" s="126"/>
      <c r="K482" s="126">
        <v>1</v>
      </c>
      <c r="L482" s="124">
        <v>1</v>
      </c>
      <c r="M482" s="126">
        <v>5</v>
      </c>
      <c r="N482" s="126">
        <v>2</v>
      </c>
      <c r="O482" s="126">
        <v>6</v>
      </c>
      <c r="P482" s="126"/>
      <c r="Q482" s="126">
        <v>3</v>
      </c>
      <c r="R482" s="126">
        <v>1</v>
      </c>
      <c r="S482" s="126">
        <v>3</v>
      </c>
      <c r="T482" s="124"/>
      <c r="U482" s="126">
        <v>4</v>
      </c>
      <c r="V482" s="126"/>
      <c r="W482" s="126">
        <v>3</v>
      </c>
      <c r="X482" s="126">
        <v>3</v>
      </c>
      <c r="Y482" s="126">
        <v>0</v>
      </c>
      <c r="Z482" s="124">
        <v>0</v>
      </c>
      <c r="AA482" s="126">
        <v>0</v>
      </c>
      <c r="AB482" s="124">
        <v>0</v>
      </c>
      <c r="AC482" s="126">
        <v>0</v>
      </c>
      <c r="AD482" s="124">
        <v>0</v>
      </c>
      <c r="AE482" s="126">
        <v>5</v>
      </c>
      <c r="AF482" s="124">
        <v>0</v>
      </c>
      <c r="AG482" s="126">
        <v>0</v>
      </c>
      <c r="AH482" s="126">
        <v>0</v>
      </c>
      <c r="AI482" s="126" t="s">
        <v>834</v>
      </c>
      <c r="AJ482" s="126" t="s">
        <v>834</v>
      </c>
      <c r="AK482" s="101">
        <v>95</v>
      </c>
    </row>
    <row r="483" spans="1:37" s="127" customFormat="1" ht="15.75">
      <c r="A483" s="120">
        <v>481</v>
      </c>
      <c r="B483" s="126" t="s">
        <v>658</v>
      </c>
      <c r="C483" s="135" t="s">
        <v>599</v>
      </c>
      <c r="D483" s="122" t="str">
        <f>"9400016"</f>
        <v>9400016</v>
      </c>
      <c r="E483" s="135" t="s">
        <v>467</v>
      </c>
      <c r="F483" s="126" t="s">
        <v>28</v>
      </c>
      <c r="G483" s="121" t="s">
        <v>283</v>
      </c>
      <c r="H483" s="126" t="s">
        <v>661</v>
      </c>
      <c r="I483" s="126"/>
      <c r="J483" s="126"/>
      <c r="K483" s="126"/>
      <c r="L483" s="124"/>
      <c r="M483" s="126"/>
      <c r="N483" s="126"/>
      <c r="O483" s="126"/>
      <c r="P483" s="126"/>
      <c r="Q483" s="126"/>
      <c r="R483" s="126"/>
      <c r="S483" s="126"/>
      <c r="T483" s="124"/>
      <c r="U483" s="126"/>
      <c r="V483" s="126"/>
      <c r="W483" s="126"/>
      <c r="X483" s="126"/>
      <c r="Y483" s="126"/>
      <c r="Z483" s="124">
        <v>0</v>
      </c>
      <c r="AA483" s="126"/>
      <c r="AB483" s="124">
        <v>0</v>
      </c>
      <c r="AC483" s="126"/>
      <c r="AD483" s="124">
        <v>0</v>
      </c>
      <c r="AE483" s="126"/>
      <c r="AF483" s="124">
        <v>0</v>
      </c>
      <c r="AG483" s="126"/>
      <c r="AH483" s="126"/>
      <c r="AI483" s="126"/>
      <c r="AJ483" s="126"/>
      <c r="AK483" s="101">
        <v>13</v>
      </c>
    </row>
    <row r="484" spans="1:37" s="127" customFormat="1" ht="15.75">
      <c r="A484" s="120">
        <v>482</v>
      </c>
      <c r="B484" s="126" t="s">
        <v>658</v>
      </c>
      <c r="C484" s="135" t="s">
        <v>609</v>
      </c>
      <c r="D484" s="122" t="str">
        <f>"9400030"</f>
        <v>9400030</v>
      </c>
      <c r="E484" s="135" t="s">
        <v>467</v>
      </c>
      <c r="F484" s="126" t="s">
        <v>28</v>
      </c>
      <c r="G484" s="121" t="s">
        <v>283</v>
      </c>
      <c r="H484" s="126" t="s">
        <v>670</v>
      </c>
      <c r="I484" s="126"/>
      <c r="J484" s="126"/>
      <c r="K484" s="126"/>
      <c r="L484" s="124"/>
      <c r="M484" s="126"/>
      <c r="N484" s="126"/>
      <c r="O484" s="126"/>
      <c r="P484" s="126"/>
      <c r="Q484" s="126"/>
      <c r="R484" s="126"/>
      <c r="S484" s="126"/>
      <c r="T484" s="124"/>
      <c r="U484" s="126"/>
      <c r="V484" s="126"/>
      <c r="W484" s="126"/>
      <c r="X484" s="126"/>
      <c r="Y484" s="126"/>
      <c r="Z484" s="124">
        <v>0</v>
      </c>
      <c r="AA484" s="126"/>
      <c r="AB484" s="124">
        <v>0</v>
      </c>
      <c r="AC484" s="126"/>
      <c r="AD484" s="124">
        <v>0</v>
      </c>
      <c r="AE484" s="126"/>
      <c r="AF484" s="124">
        <v>0</v>
      </c>
      <c r="AG484" s="126"/>
      <c r="AH484" s="126"/>
      <c r="AI484" s="126"/>
      <c r="AJ484" s="126"/>
      <c r="AK484" s="101">
        <v>15</v>
      </c>
    </row>
    <row r="485" spans="1:37" s="127" customFormat="1" ht="15.75">
      <c r="A485" s="120">
        <v>483</v>
      </c>
      <c r="B485" s="126" t="s">
        <v>658</v>
      </c>
      <c r="C485" s="135" t="s">
        <v>612</v>
      </c>
      <c r="D485" s="122" t="str">
        <f>"9400040"</f>
        <v>9400040</v>
      </c>
      <c r="E485" s="135" t="s">
        <v>467</v>
      </c>
      <c r="F485" s="126" t="s">
        <v>28</v>
      </c>
      <c r="G485" s="121" t="s">
        <v>283</v>
      </c>
      <c r="H485" s="126" t="s">
        <v>673</v>
      </c>
      <c r="I485" s="126"/>
      <c r="J485" s="126"/>
      <c r="K485" s="126"/>
      <c r="L485" s="124"/>
      <c r="M485" s="126"/>
      <c r="N485" s="126"/>
      <c r="O485" s="126"/>
      <c r="P485" s="126"/>
      <c r="Q485" s="126"/>
      <c r="R485" s="126"/>
      <c r="S485" s="126"/>
      <c r="T485" s="124"/>
      <c r="U485" s="126"/>
      <c r="V485" s="126"/>
      <c r="W485" s="126"/>
      <c r="X485" s="126"/>
      <c r="Y485" s="126"/>
      <c r="Z485" s="124">
        <v>0</v>
      </c>
      <c r="AA485" s="126"/>
      <c r="AB485" s="124">
        <v>0</v>
      </c>
      <c r="AC485" s="126"/>
      <c r="AD485" s="124">
        <v>0</v>
      </c>
      <c r="AE485" s="126"/>
      <c r="AF485" s="124">
        <v>0</v>
      </c>
      <c r="AG485" s="126"/>
      <c r="AH485" s="126"/>
      <c r="AI485" s="126"/>
      <c r="AJ485" s="126"/>
      <c r="AK485" s="101">
        <v>21</v>
      </c>
    </row>
    <row r="486" spans="1:37" s="127" customFormat="1" ht="15.75">
      <c r="A486" s="120">
        <v>484</v>
      </c>
      <c r="B486" s="126" t="s">
        <v>658</v>
      </c>
      <c r="C486" s="135" t="s">
        <v>607</v>
      </c>
      <c r="D486" s="122" t="str">
        <f>"9400055"</f>
        <v>9400055</v>
      </c>
      <c r="E486" s="135" t="s">
        <v>467</v>
      </c>
      <c r="F486" s="126" t="s">
        <v>28</v>
      </c>
      <c r="G486" s="121" t="s">
        <v>283</v>
      </c>
      <c r="H486" s="126" t="s">
        <v>668</v>
      </c>
      <c r="I486" s="126">
        <v>0</v>
      </c>
      <c r="J486" s="126">
        <v>0</v>
      </c>
      <c r="K486" s="126">
        <v>2</v>
      </c>
      <c r="L486" s="124">
        <v>1</v>
      </c>
      <c r="M486" s="126">
        <v>1</v>
      </c>
      <c r="N486" s="126">
        <v>1</v>
      </c>
      <c r="O486" s="126">
        <v>1</v>
      </c>
      <c r="P486" s="126"/>
      <c r="Q486" s="126">
        <v>1</v>
      </c>
      <c r="R486" s="126">
        <v>1</v>
      </c>
      <c r="S486" s="126">
        <v>0</v>
      </c>
      <c r="T486" s="124"/>
      <c r="U486" s="126">
        <v>0</v>
      </c>
      <c r="V486" s="126"/>
      <c r="W486" s="126">
        <v>0</v>
      </c>
      <c r="X486" s="126">
        <v>0</v>
      </c>
      <c r="Y486" s="126">
        <v>0</v>
      </c>
      <c r="Z486" s="124">
        <v>0</v>
      </c>
      <c r="AA486" s="126">
        <v>0</v>
      </c>
      <c r="AB486" s="124">
        <v>0</v>
      </c>
      <c r="AC486" s="126">
        <v>0</v>
      </c>
      <c r="AD486" s="124">
        <v>0</v>
      </c>
      <c r="AE486" s="126">
        <v>1</v>
      </c>
      <c r="AF486" s="124">
        <v>0</v>
      </c>
      <c r="AG486" s="126">
        <v>0</v>
      </c>
      <c r="AH486" s="126">
        <v>0</v>
      </c>
      <c r="AI486" s="126"/>
      <c r="AJ486" s="126"/>
      <c r="AK486" s="101">
        <v>67</v>
      </c>
    </row>
    <row r="487" spans="1:37" s="127" customFormat="1" ht="15.75">
      <c r="A487" s="120">
        <v>485</v>
      </c>
      <c r="B487" s="126" t="s">
        <v>658</v>
      </c>
      <c r="C487" s="135" t="s">
        <v>598</v>
      </c>
      <c r="D487" s="122" t="str">
        <f>"9400107"</f>
        <v>9400107</v>
      </c>
      <c r="E487" s="135" t="s">
        <v>467</v>
      </c>
      <c r="F487" s="126" t="s">
        <v>28</v>
      </c>
      <c r="G487" s="121" t="s">
        <v>284</v>
      </c>
      <c r="H487" s="126" t="s">
        <v>660</v>
      </c>
      <c r="I487" s="126"/>
      <c r="J487" s="126"/>
      <c r="K487" s="126"/>
      <c r="L487" s="124"/>
      <c r="M487" s="126"/>
      <c r="N487" s="126"/>
      <c r="O487" s="126"/>
      <c r="P487" s="126"/>
      <c r="Q487" s="126"/>
      <c r="R487" s="126"/>
      <c r="S487" s="126"/>
      <c r="T487" s="124"/>
      <c r="U487" s="126"/>
      <c r="V487" s="126"/>
      <c r="W487" s="126"/>
      <c r="X487" s="126"/>
      <c r="Y487" s="126"/>
      <c r="Z487" s="124">
        <v>0</v>
      </c>
      <c r="AA487" s="126"/>
      <c r="AB487" s="124">
        <v>0</v>
      </c>
      <c r="AC487" s="126"/>
      <c r="AD487" s="124">
        <v>0</v>
      </c>
      <c r="AE487" s="126"/>
      <c r="AF487" s="124">
        <v>0</v>
      </c>
      <c r="AG487" s="126"/>
      <c r="AH487" s="126"/>
      <c r="AI487" s="126"/>
      <c r="AJ487" s="126"/>
      <c r="AK487" s="101">
        <v>16</v>
      </c>
    </row>
    <row r="488" spans="1:37" s="127" customFormat="1" ht="15.75">
      <c r="A488" s="120">
        <v>486</v>
      </c>
      <c r="B488" s="126" t="s">
        <v>658</v>
      </c>
      <c r="C488" s="135" t="s">
        <v>600</v>
      </c>
      <c r="D488" s="122" t="str">
        <f>"9400114"</f>
        <v>9400114</v>
      </c>
      <c r="E488" s="135" t="s">
        <v>467</v>
      </c>
      <c r="F488" s="126" t="s">
        <v>28</v>
      </c>
      <c r="G488" s="121" t="s">
        <v>284</v>
      </c>
      <c r="H488" s="126" t="s">
        <v>662</v>
      </c>
      <c r="I488" s="126"/>
      <c r="J488" s="126"/>
      <c r="K488" s="126">
        <v>1</v>
      </c>
      <c r="L488" s="124">
        <v>1</v>
      </c>
      <c r="M488" s="126">
        <v>3</v>
      </c>
      <c r="N488" s="126">
        <v>1</v>
      </c>
      <c r="O488" s="126">
        <v>2</v>
      </c>
      <c r="P488" s="126"/>
      <c r="Q488" s="126">
        <v>1</v>
      </c>
      <c r="R488" s="126">
        <v>1</v>
      </c>
      <c r="S488" s="126">
        <v>1</v>
      </c>
      <c r="T488" s="124"/>
      <c r="U488" s="126">
        <v>1</v>
      </c>
      <c r="V488" s="126"/>
      <c r="W488" s="126">
        <v>3</v>
      </c>
      <c r="X488" s="126">
        <v>3</v>
      </c>
      <c r="Y488" s="126">
        <v>0</v>
      </c>
      <c r="Z488" s="124">
        <v>0</v>
      </c>
      <c r="AA488" s="126">
        <v>0</v>
      </c>
      <c r="AB488" s="124">
        <v>0</v>
      </c>
      <c r="AC488" s="126">
        <v>0</v>
      </c>
      <c r="AD488" s="124">
        <v>0</v>
      </c>
      <c r="AE488" s="126">
        <v>0</v>
      </c>
      <c r="AF488" s="124">
        <v>0</v>
      </c>
      <c r="AG488" s="126">
        <v>0</v>
      </c>
      <c r="AH488" s="126">
        <v>0</v>
      </c>
      <c r="AI488" s="126" t="s">
        <v>841</v>
      </c>
      <c r="AJ488" s="126" t="s">
        <v>841</v>
      </c>
      <c r="AK488" s="101">
        <v>24</v>
      </c>
    </row>
    <row r="489" spans="1:37" s="127" customFormat="1" ht="15.75">
      <c r="A489" s="120">
        <v>487</v>
      </c>
      <c r="B489" s="126" t="s">
        <v>658</v>
      </c>
      <c r="C489" s="135" t="s">
        <v>601</v>
      </c>
      <c r="D489" s="122" t="str">
        <f>"9400128"</f>
        <v>9400128</v>
      </c>
      <c r="E489" s="135" t="s">
        <v>467</v>
      </c>
      <c r="F489" s="126" t="s">
        <v>28</v>
      </c>
      <c r="G489" s="121" t="s">
        <v>284</v>
      </c>
      <c r="H489" s="126" t="s">
        <v>663</v>
      </c>
      <c r="I489" s="126">
        <v>3</v>
      </c>
      <c r="J489" s="126">
        <v>1</v>
      </c>
      <c r="K489" s="126">
        <v>3</v>
      </c>
      <c r="L489" s="124">
        <v>1</v>
      </c>
      <c r="M489" s="126">
        <v>0</v>
      </c>
      <c r="N489" s="126"/>
      <c r="O489" s="126">
        <v>2</v>
      </c>
      <c r="P489" s="126">
        <v>1</v>
      </c>
      <c r="Q489" s="126">
        <v>1</v>
      </c>
      <c r="R489" s="126">
        <v>1</v>
      </c>
      <c r="S489" s="126">
        <v>0</v>
      </c>
      <c r="T489" s="124"/>
      <c r="U489" s="126">
        <v>1</v>
      </c>
      <c r="V489" s="126"/>
      <c r="W489" s="126">
        <v>1</v>
      </c>
      <c r="X489" s="126">
        <v>1</v>
      </c>
      <c r="Y489" s="126">
        <v>1</v>
      </c>
      <c r="Z489" s="124">
        <v>1</v>
      </c>
      <c r="AA489" s="126">
        <v>0</v>
      </c>
      <c r="AB489" s="124">
        <v>0</v>
      </c>
      <c r="AC489" s="126">
        <v>0</v>
      </c>
      <c r="AD489" s="124">
        <v>0</v>
      </c>
      <c r="AE489" s="126">
        <v>1</v>
      </c>
      <c r="AF489" s="124">
        <v>0</v>
      </c>
      <c r="AG489" s="126">
        <v>0</v>
      </c>
      <c r="AH489" s="126">
        <v>0</v>
      </c>
      <c r="AI489" s="126"/>
      <c r="AJ489" s="126"/>
      <c r="AK489" s="101">
        <v>7</v>
      </c>
    </row>
    <row r="490" spans="1:37" s="127" customFormat="1" ht="15.75">
      <c r="A490" s="120">
        <v>488</v>
      </c>
      <c r="B490" s="126" t="s">
        <v>658</v>
      </c>
      <c r="C490" s="135" t="s">
        <v>582</v>
      </c>
      <c r="D490" s="122" t="str">
        <f>"9400143"</f>
        <v>9400143</v>
      </c>
      <c r="E490" s="135" t="s">
        <v>467</v>
      </c>
      <c r="F490" s="126" t="s">
        <v>28</v>
      </c>
      <c r="G490" s="121" t="s">
        <v>284</v>
      </c>
      <c r="H490" s="126" t="s">
        <v>287</v>
      </c>
      <c r="I490" s="126">
        <v>10</v>
      </c>
      <c r="J490" s="126">
        <v>2</v>
      </c>
      <c r="K490" s="126">
        <v>2</v>
      </c>
      <c r="L490" s="124">
        <v>1</v>
      </c>
      <c r="M490" s="126">
        <v>2</v>
      </c>
      <c r="N490" s="126">
        <v>1</v>
      </c>
      <c r="O490" s="126">
        <v>3</v>
      </c>
      <c r="P490" s="126"/>
      <c r="Q490" s="126">
        <v>2</v>
      </c>
      <c r="R490" s="126">
        <v>1</v>
      </c>
      <c r="S490" s="126">
        <v>1</v>
      </c>
      <c r="T490" s="124"/>
      <c r="U490" s="126">
        <v>2</v>
      </c>
      <c r="V490" s="126"/>
      <c r="W490" s="126">
        <v>1</v>
      </c>
      <c r="X490" s="126">
        <v>1</v>
      </c>
      <c r="Y490" s="126">
        <v>1</v>
      </c>
      <c r="Z490" s="124">
        <v>1</v>
      </c>
      <c r="AA490" s="126">
        <v>2</v>
      </c>
      <c r="AB490" s="124">
        <v>1</v>
      </c>
      <c r="AC490" s="126">
        <v>2</v>
      </c>
      <c r="AD490" s="124">
        <v>1</v>
      </c>
      <c r="AE490" s="126">
        <v>6</v>
      </c>
      <c r="AF490" s="124">
        <v>0</v>
      </c>
      <c r="AG490" s="126">
        <v>0</v>
      </c>
      <c r="AH490" s="126">
        <v>0</v>
      </c>
      <c r="AI490" s="126"/>
      <c r="AJ490" s="126"/>
      <c r="AK490" s="103">
        <v>1</v>
      </c>
    </row>
    <row r="491" spans="1:37" s="127" customFormat="1" ht="15.75">
      <c r="A491" s="120">
        <v>489</v>
      </c>
      <c r="B491" s="126" t="s">
        <v>658</v>
      </c>
      <c r="C491" s="135" t="s">
        <v>604</v>
      </c>
      <c r="D491" s="122" t="str">
        <f>"9400164"</f>
        <v>9400164</v>
      </c>
      <c r="E491" s="135" t="s">
        <v>467</v>
      </c>
      <c r="F491" s="126" t="s">
        <v>28</v>
      </c>
      <c r="G491" s="121" t="s">
        <v>284</v>
      </c>
      <c r="H491" s="126" t="s">
        <v>665</v>
      </c>
      <c r="I491" s="126">
        <v>0</v>
      </c>
      <c r="J491" s="126">
        <v>0</v>
      </c>
      <c r="K491" s="126">
        <v>0</v>
      </c>
      <c r="L491" s="124"/>
      <c r="M491" s="126">
        <v>1</v>
      </c>
      <c r="N491" s="126">
        <v>1</v>
      </c>
      <c r="O491" s="126">
        <v>1</v>
      </c>
      <c r="P491" s="126"/>
      <c r="Q491" s="126">
        <v>0</v>
      </c>
      <c r="R491" s="126"/>
      <c r="S491" s="126">
        <v>0</v>
      </c>
      <c r="T491" s="124"/>
      <c r="U491" s="126">
        <v>0</v>
      </c>
      <c r="V491" s="126"/>
      <c r="W491" s="126">
        <v>0</v>
      </c>
      <c r="X491" s="126">
        <v>0</v>
      </c>
      <c r="Y491" s="126">
        <v>0</v>
      </c>
      <c r="Z491" s="124">
        <v>0</v>
      </c>
      <c r="AA491" s="126">
        <v>0</v>
      </c>
      <c r="AB491" s="124">
        <v>0</v>
      </c>
      <c r="AC491" s="126">
        <v>0</v>
      </c>
      <c r="AD491" s="124">
        <v>0</v>
      </c>
      <c r="AE491" s="126">
        <v>0</v>
      </c>
      <c r="AF491" s="124">
        <v>0</v>
      </c>
      <c r="AG491" s="126">
        <v>0</v>
      </c>
      <c r="AH491" s="126">
        <v>0</v>
      </c>
      <c r="AI491" s="126" t="s">
        <v>834</v>
      </c>
      <c r="AJ491" s="126" t="s">
        <v>834</v>
      </c>
      <c r="AK491" s="101">
        <v>60</v>
      </c>
    </row>
    <row r="492" spans="1:37" s="127" customFormat="1" ht="15.75">
      <c r="A492" s="120">
        <v>490</v>
      </c>
      <c r="B492" s="126" t="s">
        <v>658</v>
      </c>
      <c r="C492" s="135" t="s">
        <v>589</v>
      </c>
      <c r="D492" s="122" t="str">
        <f>"9400214"</f>
        <v>9400214</v>
      </c>
      <c r="E492" s="135" t="s">
        <v>467</v>
      </c>
      <c r="F492" s="126" t="s">
        <v>28</v>
      </c>
      <c r="G492" s="121" t="s">
        <v>284</v>
      </c>
      <c r="H492" s="126" t="s">
        <v>287</v>
      </c>
      <c r="I492" s="126">
        <v>10</v>
      </c>
      <c r="J492" s="126">
        <v>2</v>
      </c>
      <c r="K492" s="126">
        <v>3</v>
      </c>
      <c r="L492" s="124">
        <v>1</v>
      </c>
      <c r="M492" s="126">
        <v>1</v>
      </c>
      <c r="N492" s="126">
        <v>1</v>
      </c>
      <c r="O492" s="126">
        <v>0</v>
      </c>
      <c r="P492" s="126"/>
      <c r="Q492" s="126">
        <v>0</v>
      </c>
      <c r="R492" s="126"/>
      <c r="S492" s="126">
        <v>0</v>
      </c>
      <c r="T492" s="124"/>
      <c r="U492" s="126">
        <v>1</v>
      </c>
      <c r="V492" s="126">
        <v>1</v>
      </c>
      <c r="W492" s="126">
        <v>0</v>
      </c>
      <c r="X492" s="126">
        <v>0</v>
      </c>
      <c r="Y492" s="126">
        <v>0</v>
      </c>
      <c r="Z492" s="124">
        <v>0</v>
      </c>
      <c r="AA492" s="126">
        <v>0</v>
      </c>
      <c r="AB492" s="124">
        <v>0</v>
      </c>
      <c r="AC492" s="126">
        <v>0</v>
      </c>
      <c r="AD492" s="124">
        <v>0</v>
      </c>
      <c r="AE492" s="126">
        <v>4</v>
      </c>
      <c r="AF492" s="124">
        <v>0</v>
      </c>
      <c r="AG492" s="126">
        <v>0</v>
      </c>
      <c r="AH492" s="126">
        <v>0</v>
      </c>
      <c r="AI492" s="126"/>
      <c r="AJ492" s="126"/>
      <c r="AK492" s="101">
        <v>73</v>
      </c>
    </row>
    <row r="493" spans="1:37" s="127" customFormat="1" ht="15.75">
      <c r="A493" s="120">
        <v>491</v>
      </c>
      <c r="B493" s="126" t="s">
        <v>658</v>
      </c>
      <c r="C493" s="135" t="s">
        <v>583</v>
      </c>
      <c r="D493" s="122" t="str">
        <f>"9520632"</f>
        <v>9520632</v>
      </c>
      <c r="E493" s="135" t="s">
        <v>467</v>
      </c>
      <c r="F493" s="126" t="s">
        <v>28</v>
      </c>
      <c r="G493" s="121" t="s">
        <v>284</v>
      </c>
      <c r="H493" s="126" t="s">
        <v>284</v>
      </c>
      <c r="I493" s="126"/>
      <c r="J493" s="126"/>
      <c r="K493" s="126"/>
      <c r="L493" s="124"/>
      <c r="M493" s="126"/>
      <c r="N493" s="126"/>
      <c r="O493" s="126"/>
      <c r="P493" s="126"/>
      <c r="Q493" s="126"/>
      <c r="R493" s="126"/>
      <c r="S493" s="126"/>
      <c r="T493" s="124"/>
      <c r="U493" s="126"/>
      <c r="V493" s="126"/>
      <c r="W493" s="126"/>
      <c r="X493" s="126"/>
      <c r="Y493" s="126"/>
      <c r="Z493" s="124">
        <v>0</v>
      </c>
      <c r="AA493" s="126"/>
      <c r="AB493" s="124">
        <v>0</v>
      </c>
      <c r="AC493" s="126"/>
      <c r="AD493" s="124">
        <v>0</v>
      </c>
      <c r="AE493" s="126"/>
      <c r="AF493" s="124">
        <v>0</v>
      </c>
      <c r="AG493" s="126"/>
      <c r="AH493" s="126"/>
      <c r="AI493" s="126"/>
      <c r="AJ493" s="126"/>
      <c r="AK493" s="101">
        <v>114</v>
      </c>
    </row>
    <row r="494" spans="1:37" s="127" customFormat="1" ht="15.75">
      <c r="A494" s="120">
        <v>492</v>
      </c>
      <c r="B494" s="126" t="s">
        <v>658</v>
      </c>
      <c r="C494" s="135" t="s">
        <v>588</v>
      </c>
      <c r="D494" s="122" t="str">
        <f>"9520633"</f>
        <v>9520633</v>
      </c>
      <c r="E494" s="135" t="s">
        <v>467</v>
      </c>
      <c r="F494" s="126" t="s">
        <v>28</v>
      </c>
      <c r="G494" s="121" t="s">
        <v>284</v>
      </c>
      <c r="H494" s="126" t="s">
        <v>284</v>
      </c>
      <c r="I494" s="126">
        <v>4</v>
      </c>
      <c r="J494" s="126">
        <v>1</v>
      </c>
      <c r="K494" s="126">
        <v>3</v>
      </c>
      <c r="L494" s="124">
        <v>1</v>
      </c>
      <c r="M494" s="126">
        <v>1</v>
      </c>
      <c r="N494" s="126">
        <v>1</v>
      </c>
      <c r="O494" s="126">
        <v>1</v>
      </c>
      <c r="P494" s="126"/>
      <c r="Q494" s="126">
        <v>1</v>
      </c>
      <c r="R494" s="126">
        <v>1</v>
      </c>
      <c r="S494" s="126">
        <v>1</v>
      </c>
      <c r="T494" s="124"/>
      <c r="U494" s="126">
        <v>1</v>
      </c>
      <c r="V494" s="126"/>
      <c r="W494" s="126">
        <v>1</v>
      </c>
      <c r="X494" s="126">
        <v>1</v>
      </c>
      <c r="Y494" s="126">
        <v>0</v>
      </c>
      <c r="Z494" s="124">
        <v>0</v>
      </c>
      <c r="AA494" s="126">
        <v>0</v>
      </c>
      <c r="AB494" s="124">
        <v>0</v>
      </c>
      <c r="AC494" s="126">
        <v>0</v>
      </c>
      <c r="AD494" s="124">
        <v>0</v>
      </c>
      <c r="AE494" s="126">
        <v>0</v>
      </c>
      <c r="AF494" s="124">
        <v>0</v>
      </c>
      <c r="AG494" s="126">
        <v>0</v>
      </c>
      <c r="AH494" s="126">
        <v>0</v>
      </c>
      <c r="AI494" s="126"/>
      <c r="AJ494" s="126"/>
      <c r="AK494" s="101">
        <v>12</v>
      </c>
    </row>
    <row r="495" spans="1:37" s="127" customFormat="1" ht="15.75">
      <c r="A495" s="120">
        <v>493</v>
      </c>
      <c r="B495" s="126" t="s">
        <v>658</v>
      </c>
      <c r="C495" s="135" t="s">
        <v>585</v>
      </c>
      <c r="D495" s="122" t="str">
        <f>"9400007"</f>
        <v>9400007</v>
      </c>
      <c r="E495" s="135" t="s">
        <v>467</v>
      </c>
      <c r="F495" s="126" t="s">
        <v>28</v>
      </c>
      <c r="G495" s="121" t="s">
        <v>28</v>
      </c>
      <c r="H495" s="126" t="s">
        <v>28</v>
      </c>
      <c r="I495" s="126">
        <v>3</v>
      </c>
      <c r="J495" s="126">
        <v>1</v>
      </c>
      <c r="K495" s="126">
        <v>5</v>
      </c>
      <c r="L495" s="124">
        <v>1</v>
      </c>
      <c r="M495" s="126">
        <v>3</v>
      </c>
      <c r="N495" s="126">
        <v>1</v>
      </c>
      <c r="O495" s="126">
        <v>5</v>
      </c>
      <c r="P495" s="126"/>
      <c r="Q495" s="126">
        <v>1</v>
      </c>
      <c r="R495" s="126">
        <v>1</v>
      </c>
      <c r="S495" s="126">
        <v>1</v>
      </c>
      <c r="T495" s="124"/>
      <c r="U495" s="126">
        <v>2</v>
      </c>
      <c r="V495" s="126"/>
      <c r="W495" s="126">
        <v>3</v>
      </c>
      <c r="X495" s="126">
        <v>3</v>
      </c>
      <c r="Y495" s="126">
        <v>1</v>
      </c>
      <c r="Z495" s="124">
        <v>1</v>
      </c>
      <c r="AA495" s="126">
        <v>1</v>
      </c>
      <c r="AB495" s="124">
        <v>1</v>
      </c>
      <c r="AC495" s="126">
        <v>1</v>
      </c>
      <c r="AD495" s="124">
        <v>1</v>
      </c>
      <c r="AE495" s="126">
        <v>3</v>
      </c>
      <c r="AF495" s="124">
        <v>0</v>
      </c>
      <c r="AG495" s="126">
        <v>0</v>
      </c>
      <c r="AH495" s="126">
        <v>0</v>
      </c>
      <c r="AI495" s="126"/>
      <c r="AJ495" s="126"/>
      <c r="AK495" s="101">
        <v>118</v>
      </c>
    </row>
    <row r="496" spans="1:37" s="127" customFormat="1" ht="15.75">
      <c r="A496" s="120">
        <v>494</v>
      </c>
      <c r="B496" s="126" t="s">
        <v>658</v>
      </c>
      <c r="C496" s="135" t="s">
        <v>590</v>
      </c>
      <c r="D496" s="122" t="str">
        <f>"9400009"</f>
        <v>9400009</v>
      </c>
      <c r="E496" s="135" t="s">
        <v>467</v>
      </c>
      <c r="F496" s="126" t="s">
        <v>28</v>
      </c>
      <c r="G496" s="121" t="s">
        <v>28</v>
      </c>
      <c r="H496" s="126" t="s">
        <v>28</v>
      </c>
      <c r="I496" s="126">
        <v>2</v>
      </c>
      <c r="J496" s="126">
        <v>1</v>
      </c>
      <c r="K496" s="126">
        <v>2</v>
      </c>
      <c r="L496" s="124">
        <v>1</v>
      </c>
      <c r="M496" s="126">
        <v>4</v>
      </c>
      <c r="N496" s="126">
        <v>1</v>
      </c>
      <c r="O496" s="126">
        <v>2</v>
      </c>
      <c r="P496" s="126"/>
      <c r="Q496" s="126">
        <v>2</v>
      </c>
      <c r="R496" s="126">
        <v>1</v>
      </c>
      <c r="S496" s="126">
        <v>0</v>
      </c>
      <c r="T496" s="124"/>
      <c r="U496" s="126">
        <v>1</v>
      </c>
      <c r="V496" s="126"/>
      <c r="W496" s="126">
        <v>1</v>
      </c>
      <c r="X496" s="126">
        <v>1</v>
      </c>
      <c r="Y496" s="126">
        <v>0</v>
      </c>
      <c r="Z496" s="124">
        <v>0</v>
      </c>
      <c r="AA496" s="126">
        <v>0</v>
      </c>
      <c r="AB496" s="124">
        <v>0</v>
      </c>
      <c r="AC496" s="126">
        <v>0</v>
      </c>
      <c r="AD496" s="124">
        <v>0</v>
      </c>
      <c r="AE496" s="126">
        <v>2</v>
      </c>
      <c r="AF496" s="124">
        <v>0</v>
      </c>
      <c r="AG496" s="126">
        <v>0</v>
      </c>
      <c r="AH496" s="126">
        <v>0</v>
      </c>
      <c r="AI496" s="126"/>
      <c r="AJ496" s="126"/>
      <c r="AK496" s="101">
        <v>86</v>
      </c>
    </row>
    <row r="497" spans="1:37" s="127" customFormat="1" ht="15.75">
      <c r="A497" s="120">
        <v>495</v>
      </c>
      <c r="B497" s="126" t="s">
        <v>658</v>
      </c>
      <c r="C497" s="135" t="s">
        <v>603</v>
      </c>
      <c r="D497" s="122" t="str">
        <f>"9400048"</f>
        <v>9400048</v>
      </c>
      <c r="E497" s="135" t="s">
        <v>467</v>
      </c>
      <c r="F497" s="126" t="s">
        <v>28</v>
      </c>
      <c r="G497" s="121" t="s">
        <v>28</v>
      </c>
      <c r="H497" s="126" t="s">
        <v>288</v>
      </c>
      <c r="I497" s="126">
        <v>9</v>
      </c>
      <c r="J497" s="126">
        <v>2</v>
      </c>
      <c r="K497" s="126">
        <v>5</v>
      </c>
      <c r="L497" s="124">
        <v>1</v>
      </c>
      <c r="M497" s="126">
        <v>6</v>
      </c>
      <c r="N497" s="126">
        <v>1</v>
      </c>
      <c r="O497" s="126">
        <v>1</v>
      </c>
      <c r="P497" s="126"/>
      <c r="Q497" s="126">
        <v>1</v>
      </c>
      <c r="R497" s="126">
        <v>1</v>
      </c>
      <c r="S497" s="126">
        <v>0</v>
      </c>
      <c r="T497" s="124"/>
      <c r="U497" s="126">
        <v>1</v>
      </c>
      <c r="V497" s="126"/>
      <c r="W497" s="126">
        <v>0</v>
      </c>
      <c r="X497" s="126">
        <v>0</v>
      </c>
      <c r="Y497" s="126">
        <v>0</v>
      </c>
      <c r="Z497" s="124">
        <v>0</v>
      </c>
      <c r="AA497" s="126">
        <v>0</v>
      </c>
      <c r="AB497" s="124">
        <v>0</v>
      </c>
      <c r="AC497" s="126">
        <v>0</v>
      </c>
      <c r="AD497" s="124">
        <v>0</v>
      </c>
      <c r="AE497" s="126">
        <v>2</v>
      </c>
      <c r="AF497" s="124">
        <v>0</v>
      </c>
      <c r="AG497" s="126">
        <v>0</v>
      </c>
      <c r="AH497" s="126">
        <v>0</v>
      </c>
      <c r="AI497" s="126"/>
      <c r="AJ497" s="126"/>
      <c r="AK497" s="101">
        <v>113</v>
      </c>
    </row>
    <row r="498" spans="1:37" s="127" customFormat="1" ht="15.75">
      <c r="A498" s="120">
        <v>496</v>
      </c>
      <c r="B498" s="126" t="s">
        <v>658</v>
      </c>
      <c r="C498" s="135" t="s">
        <v>608</v>
      </c>
      <c r="D498" s="122" t="str">
        <f>"9400061"</f>
        <v>9400061</v>
      </c>
      <c r="E498" s="135" t="s">
        <v>467</v>
      </c>
      <c r="F498" s="126" t="s">
        <v>28</v>
      </c>
      <c r="G498" s="121" t="s">
        <v>28</v>
      </c>
      <c r="H498" s="126" t="s">
        <v>669</v>
      </c>
      <c r="I498" s="126">
        <v>0</v>
      </c>
      <c r="J498" s="126">
        <v>0</v>
      </c>
      <c r="K498" s="126">
        <v>1</v>
      </c>
      <c r="L498" s="124">
        <v>1</v>
      </c>
      <c r="M498" s="126">
        <v>1</v>
      </c>
      <c r="N498" s="126">
        <v>1</v>
      </c>
      <c r="O498" s="126">
        <v>3</v>
      </c>
      <c r="P498" s="126"/>
      <c r="Q498" s="126">
        <v>0</v>
      </c>
      <c r="R498" s="126"/>
      <c r="S498" s="126">
        <v>1</v>
      </c>
      <c r="T498" s="124"/>
      <c r="U498" s="126">
        <v>1</v>
      </c>
      <c r="V498" s="126"/>
      <c r="W498" s="126">
        <v>2</v>
      </c>
      <c r="X498" s="126">
        <v>2</v>
      </c>
      <c r="Y498" s="126">
        <v>0</v>
      </c>
      <c r="Z498" s="124">
        <v>0</v>
      </c>
      <c r="AA498" s="126">
        <v>0</v>
      </c>
      <c r="AB498" s="124">
        <v>0</v>
      </c>
      <c r="AC498" s="126">
        <v>0</v>
      </c>
      <c r="AD498" s="124">
        <v>0</v>
      </c>
      <c r="AE498" s="126">
        <v>4</v>
      </c>
      <c r="AF498" s="124">
        <v>0</v>
      </c>
      <c r="AG498" s="126">
        <v>0</v>
      </c>
      <c r="AH498" s="126">
        <v>0</v>
      </c>
      <c r="AI498" s="126" t="s">
        <v>841</v>
      </c>
      <c r="AJ498" s="126" t="s">
        <v>841</v>
      </c>
      <c r="AK498" s="101">
        <v>67</v>
      </c>
    </row>
    <row r="499" spans="1:37" s="127" customFormat="1" ht="15.75">
      <c r="A499" s="120">
        <v>497</v>
      </c>
      <c r="B499" s="126" t="s">
        <v>658</v>
      </c>
      <c r="C499" s="135" t="s">
        <v>594</v>
      </c>
      <c r="D499" s="122" t="str">
        <f>"9400097"</f>
        <v>9400097</v>
      </c>
      <c r="E499" s="135" t="s">
        <v>467</v>
      </c>
      <c r="F499" s="126" t="s">
        <v>28</v>
      </c>
      <c r="G499" s="121" t="s">
        <v>28</v>
      </c>
      <c r="H499" s="126" t="s">
        <v>28</v>
      </c>
      <c r="I499" s="126"/>
      <c r="J499" s="126"/>
      <c r="K499" s="126">
        <v>1</v>
      </c>
      <c r="L499" s="124">
        <v>1</v>
      </c>
      <c r="M499" s="126">
        <v>2</v>
      </c>
      <c r="N499" s="126">
        <v>1</v>
      </c>
      <c r="O499" s="126">
        <v>5</v>
      </c>
      <c r="P499" s="126"/>
      <c r="Q499" s="126">
        <v>2</v>
      </c>
      <c r="R499" s="126">
        <v>1</v>
      </c>
      <c r="S499" s="126">
        <v>2</v>
      </c>
      <c r="T499" s="124"/>
      <c r="U499" s="126">
        <v>3</v>
      </c>
      <c r="V499" s="126"/>
      <c r="W499" s="126">
        <v>3</v>
      </c>
      <c r="X499" s="126">
        <v>3</v>
      </c>
      <c r="Y499" s="126">
        <v>0</v>
      </c>
      <c r="Z499" s="124">
        <v>0</v>
      </c>
      <c r="AA499" s="126">
        <v>2</v>
      </c>
      <c r="AB499" s="124">
        <v>1</v>
      </c>
      <c r="AC499" s="126">
        <v>2</v>
      </c>
      <c r="AD499" s="124">
        <v>1</v>
      </c>
      <c r="AE499" s="126">
        <v>0</v>
      </c>
      <c r="AF499" s="124">
        <v>0</v>
      </c>
      <c r="AG499" s="126">
        <v>0</v>
      </c>
      <c r="AH499" s="126">
        <v>0</v>
      </c>
      <c r="AI499" s="126" t="s">
        <v>841</v>
      </c>
      <c r="AJ499" s="126" t="s">
        <v>841</v>
      </c>
      <c r="AK499" s="101">
        <v>124</v>
      </c>
    </row>
    <row r="500" spans="1:37" s="127" customFormat="1" ht="15.75">
      <c r="A500" s="120">
        <v>498</v>
      </c>
      <c r="B500" s="126" t="s">
        <v>658</v>
      </c>
      <c r="C500" s="135" t="s">
        <v>597</v>
      </c>
      <c r="D500" s="122" t="str">
        <f>"9400099"</f>
        <v>9400099</v>
      </c>
      <c r="E500" s="135" t="s">
        <v>467</v>
      </c>
      <c r="F500" s="126" t="s">
        <v>28</v>
      </c>
      <c r="G500" s="121" t="s">
        <v>28</v>
      </c>
      <c r="H500" s="126" t="s">
        <v>28</v>
      </c>
      <c r="I500" s="126"/>
      <c r="J500" s="126"/>
      <c r="K500" s="126"/>
      <c r="L500" s="124"/>
      <c r="M500" s="126"/>
      <c r="N500" s="126"/>
      <c r="O500" s="126"/>
      <c r="P500" s="126"/>
      <c r="Q500" s="126"/>
      <c r="R500" s="126"/>
      <c r="S500" s="126"/>
      <c r="T500" s="124"/>
      <c r="U500" s="126"/>
      <c r="V500" s="126"/>
      <c r="W500" s="126"/>
      <c r="X500" s="126"/>
      <c r="Y500" s="126"/>
      <c r="Z500" s="124">
        <v>0</v>
      </c>
      <c r="AA500" s="126"/>
      <c r="AB500" s="124">
        <v>0</v>
      </c>
      <c r="AC500" s="126"/>
      <c r="AD500" s="124">
        <v>0</v>
      </c>
      <c r="AE500" s="126"/>
      <c r="AF500" s="124">
        <v>0</v>
      </c>
      <c r="AG500" s="126"/>
      <c r="AH500" s="126"/>
      <c r="AI500" s="126"/>
      <c r="AJ500" s="126"/>
      <c r="AK500" s="101">
        <v>104</v>
      </c>
    </row>
    <row r="501" spans="1:37" s="127" customFormat="1" ht="15.75">
      <c r="A501" s="120">
        <v>499</v>
      </c>
      <c r="B501" s="126" t="s">
        <v>658</v>
      </c>
      <c r="C501" s="135" t="s">
        <v>605</v>
      </c>
      <c r="D501" s="122" t="str">
        <f>"9400100"</f>
        <v>9400100</v>
      </c>
      <c r="E501" s="135" t="s">
        <v>467</v>
      </c>
      <c r="F501" s="126" t="s">
        <v>28</v>
      </c>
      <c r="G501" s="121" t="s">
        <v>28</v>
      </c>
      <c r="H501" s="126" t="s">
        <v>666</v>
      </c>
      <c r="I501" s="126"/>
      <c r="J501" s="126"/>
      <c r="K501" s="126"/>
      <c r="L501" s="124"/>
      <c r="M501" s="126"/>
      <c r="N501" s="126"/>
      <c r="O501" s="126"/>
      <c r="P501" s="126"/>
      <c r="Q501" s="126"/>
      <c r="R501" s="126"/>
      <c r="S501" s="126"/>
      <c r="T501" s="124"/>
      <c r="U501" s="126"/>
      <c r="V501" s="126"/>
      <c r="W501" s="126"/>
      <c r="X501" s="126"/>
      <c r="Y501" s="126"/>
      <c r="Z501" s="124">
        <v>0</v>
      </c>
      <c r="AA501" s="126"/>
      <c r="AB501" s="124">
        <v>0</v>
      </c>
      <c r="AC501" s="126"/>
      <c r="AD501" s="124">
        <v>0</v>
      </c>
      <c r="AE501" s="126"/>
      <c r="AF501" s="124">
        <v>0</v>
      </c>
      <c r="AG501" s="126"/>
      <c r="AH501" s="126"/>
      <c r="AI501" s="126"/>
      <c r="AJ501" s="126"/>
      <c r="AK501" s="101">
        <v>53</v>
      </c>
    </row>
    <row r="502" spans="1:37" s="127" customFormat="1" ht="15.75">
      <c r="A502" s="120">
        <v>500</v>
      </c>
      <c r="B502" s="126" t="s">
        <v>658</v>
      </c>
      <c r="C502" s="135" t="s">
        <v>831</v>
      </c>
      <c r="D502" s="122" t="str">
        <f>"9400105"</f>
        <v>9400105</v>
      </c>
      <c r="E502" s="135" t="s">
        <v>467</v>
      </c>
      <c r="F502" s="126" t="s">
        <v>28</v>
      </c>
      <c r="G502" s="121" t="s">
        <v>28</v>
      </c>
      <c r="H502" s="126" t="s">
        <v>28</v>
      </c>
      <c r="I502" s="126">
        <v>4</v>
      </c>
      <c r="J502" s="126">
        <v>1</v>
      </c>
      <c r="K502" s="126">
        <v>0</v>
      </c>
      <c r="L502" s="124"/>
      <c r="M502" s="126">
        <v>1</v>
      </c>
      <c r="N502" s="126">
        <v>1</v>
      </c>
      <c r="O502" s="126">
        <v>0</v>
      </c>
      <c r="P502" s="126"/>
      <c r="Q502" s="126">
        <v>1</v>
      </c>
      <c r="R502" s="126">
        <v>1</v>
      </c>
      <c r="S502" s="126">
        <v>0</v>
      </c>
      <c r="T502" s="124"/>
      <c r="U502" s="126">
        <v>1</v>
      </c>
      <c r="V502" s="126"/>
      <c r="W502" s="126">
        <v>1</v>
      </c>
      <c r="X502" s="126">
        <v>1</v>
      </c>
      <c r="Y502" s="126">
        <v>1</v>
      </c>
      <c r="Z502" s="124">
        <v>1</v>
      </c>
      <c r="AA502" s="126" t="s">
        <v>892</v>
      </c>
      <c r="AB502" s="124">
        <v>1</v>
      </c>
      <c r="AC502" s="126">
        <v>0</v>
      </c>
      <c r="AD502" s="124">
        <v>0</v>
      </c>
      <c r="AE502" s="126">
        <v>7</v>
      </c>
      <c r="AF502" s="124">
        <v>0</v>
      </c>
      <c r="AG502" s="126">
        <v>0</v>
      </c>
      <c r="AH502" s="126">
        <v>0</v>
      </c>
      <c r="AI502" s="126"/>
      <c r="AJ502" s="126"/>
      <c r="AK502" s="101">
        <v>86</v>
      </c>
    </row>
    <row r="503" spans="1:37" s="127" customFormat="1" ht="15.75">
      <c r="A503" s="120">
        <v>501</v>
      </c>
      <c r="B503" s="126" t="s">
        <v>658</v>
      </c>
      <c r="C503" s="135" t="s">
        <v>593</v>
      </c>
      <c r="D503" s="122" t="str">
        <f>"9400106"</f>
        <v>9400106</v>
      </c>
      <c r="E503" s="135" t="s">
        <v>467</v>
      </c>
      <c r="F503" s="126" t="s">
        <v>28</v>
      </c>
      <c r="G503" s="121" t="s">
        <v>28</v>
      </c>
      <c r="H503" s="126" t="s">
        <v>28</v>
      </c>
      <c r="I503" s="126">
        <v>6</v>
      </c>
      <c r="J503" s="126">
        <v>2</v>
      </c>
      <c r="K503" s="126">
        <v>1</v>
      </c>
      <c r="L503" s="124">
        <v>1</v>
      </c>
      <c r="M503" s="126">
        <v>0</v>
      </c>
      <c r="N503" s="126"/>
      <c r="O503" s="126">
        <v>0</v>
      </c>
      <c r="P503" s="126"/>
      <c r="Q503" s="126">
        <v>0</v>
      </c>
      <c r="R503" s="126"/>
      <c r="S503" s="126">
        <v>0</v>
      </c>
      <c r="T503" s="124"/>
      <c r="U503" s="126">
        <v>0</v>
      </c>
      <c r="V503" s="126"/>
      <c r="W503" s="126">
        <v>0</v>
      </c>
      <c r="X503" s="126">
        <v>0</v>
      </c>
      <c r="Y503" s="126">
        <v>0</v>
      </c>
      <c r="Z503" s="124">
        <v>0</v>
      </c>
      <c r="AA503" s="126">
        <v>0</v>
      </c>
      <c r="AB503" s="124">
        <v>0</v>
      </c>
      <c r="AC503" s="126">
        <v>0</v>
      </c>
      <c r="AD503" s="124">
        <v>0</v>
      </c>
      <c r="AE503" s="126">
        <v>2</v>
      </c>
      <c r="AF503" s="124">
        <v>0</v>
      </c>
      <c r="AG503" s="126">
        <v>0</v>
      </c>
      <c r="AH503" s="126">
        <v>0</v>
      </c>
      <c r="AI503" s="126"/>
      <c r="AJ503" s="126"/>
      <c r="AK503" s="101">
        <v>158</v>
      </c>
    </row>
    <row r="504" spans="1:37" s="127" customFormat="1" ht="15.75">
      <c r="A504" s="120">
        <v>502</v>
      </c>
      <c r="B504" s="126" t="s">
        <v>658</v>
      </c>
      <c r="C504" s="135" t="s">
        <v>602</v>
      </c>
      <c r="D504" s="122" t="str">
        <f>"9400139"</f>
        <v>9400139</v>
      </c>
      <c r="E504" s="135" t="s">
        <v>467</v>
      </c>
      <c r="F504" s="126" t="s">
        <v>28</v>
      </c>
      <c r="G504" s="121" t="s">
        <v>28</v>
      </c>
      <c r="H504" s="126" t="s">
        <v>664</v>
      </c>
      <c r="I504" s="126"/>
      <c r="J504" s="126"/>
      <c r="K504" s="126">
        <v>1</v>
      </c>
      <c r="L504" s="124">
        <v>1</v>
      </c>
      <c r="M504" s="126">
        <v>2</v>
      </c>
      <c r="N504" s="126">
        <v>1</v>
      </c>
      <c r="O504" s="126">
        <v>2</v>
      </c>
      <c r="P504" s="126"/>
      <c r="Q504" s="126">
        <v>1</v>
      </c>
      <c r="R504" s="126">
        <v>1</v>
      </c>
      <c r="S504" s="126">
        <v>1</v>
      </c>
      <c r="T504" s="124"/>
      <c r="U504" s="126">
        <v>1</v>
      </c>
      <c r="V504" s="126"/>
      <c r="W504" s="126">
        <v>2</v>
      </c>
      <c r="X504" s="126">
        <v>2</v>
      </c>
      <c r="Y504" s="126">
        <v>0</v>
      </c>
      <c r="Z504" s="124">
        <v>0</v>
      </c>
      <c r="AA504" s="126">
        <v>0</v>
      </c>
      <c r="AB504" s="124">
        <v>0</v>
      </c>
      <c r="AC504" s="126">
        <v>0</v>
      </c>
      <c r="AD504" s="124">
        <v>0</v>
      </c>
      <c r="AE504" s="126">
        <v>3</v>
      </c>
      <c r="AF504" s="124">
        <v>0</v>
      </c>
      <c r="AG504" s="126">
        <v>0</v>
      </c>
      <c r="AH504" s="126">
        <v>0</v>
      </c>
      <c r="AI504" s="126" t="s">
        <v>834</v>
      </c>
      <c r="AJ504" s="126" t="s">
        <v>834</v>
      </c>
      <c r="AK504" s="101">
        <v>78</v>
      </c>
    </row>
    <row r="505" spans="1:37" s="127" customFormat="1" ht="15.75">
      <c r="A505" s="120">
        <v>503</v>
      </c>
      <c r="B505" s="126" t="s">
        <v>658</v>
      </c>
      <c r="C505" s="135" t="s">
        <v>611</v>
      </c>
      <c r="D505" s="122" t="str">
        <f>"9400188"</f>
        <v>9400188</v>
      </c>
      <c r="E505" s="135" t="s">
        <v>467</v>
      </c>
      <c r="F505" s="126" t="s">
        <v>28</v>
      </c>
      <c r="G505" s="121" t="s">
        <v>28</v>
      </c>
      <c r="H505" s="126" t="s">
        <v>672</v>
      </c>
      <c r="I505" s="126">
        <v>1</v>
      </c>
      <c r="J505" s="126">
        <v>1</v>
      </c>
      <c r="K505" s="126">
        <v>1</v>
      </c>
      <c r="L505" s="124">
        <v>1</v>
      </c>
      <c r="M505" s="126">
        <v>0</v>
      </c>
      <c r="N505" s="126"/>
      <c r="O505" s="126">
        <v>0</v>
      </c>
      <c r="P505" s="126"/>
      <c r="Q505" s="126">
        <v>1</v>
      </c>
      <c r="R505" s="126">
        <v>1</v>
      </c>
      <c r="S505" s="126">
        <v>1</v>
      </c>
      <c r="T505" s="124"/>
      <c r="U505" s="126">
        <v>1</v>
      </c>
      <c r="V505" s="126"/>
      <c r="W505" s="126">
        <v>0</v>
      </c>
      <c r="X505" s="126">
        <v>0</v>
      </c>
      <c r="Y505" s="126">
        <v>0</v>
      </c>
      <c r="Z505" s="124">
        <v>0</v>
      </c>
      <c r="AA505" s="126">
        <v>0</v>
      </c>
      <c r="AB505" s="124">
        <v>0</v>
      </c>
      <c r="AC505" s="126">
        <v>0</v>
      </c>
      <c r="AD505" s="124">
        <v>0</v>
      </c>
      <c r="AE505" s="126">
        <v>1</v>
      </c>
      <c r="AF505" s="124">
        <v>0</v>
      </c>
      <c r="AG505" s="126">
        <v>0</v>
      </c>
      <c r="AH505" s="126">
        <v>0</v>
      </c>
      <c r="AI505" s="126"/>
      <c r="AJ505" s="126"/>
      <c r="AK505" s="101">
        <v>11</v>
      </c>
    </row>
    <row r="506" spans="1:37" s="127" customFormat="1" ht="15.75">
      <c r="A506" s="120">
        <v>504</v>
      </c>
      <c r="B506" s="126" t="s">
        <v>658</v>
      </c>
      <c r="C506" s="135" t="s">
        <v>606</v>
      </c>
      <c r="D506" s="122" t="str">
        <f>"9400203"</f>
        <v>9400203</v>
      </c>
      <c r="E506" s="135" t="s">
        <v>467</v>
      </c>
      <c r="F506" s="126" t="s">
        <v>28</v>
      </c>
      <c r="G506" s="121" t="s">
        <v>28</v>
      </c>
      <c r="H506" s="126" t="s">
        <v>667</v>
      </c>
      <c r="I506" s="126">
        <v>3</v>
      </c>
      <c r="J506" s="126">
        <v>1</v>
      </c>
      <c r="K506" s="126">
        <v>2</v>
      </c>
      <c r="L506" s="124">
        <v>1</v>
      </c>
      <c r="M506" s="126">
        <v>1</v>
      </c>
      <c r="N506" s="126">
        <v>1</v>
      </c>
      <c r="O506" s="126">
        <v>1</v>
      </c>
      <c r="P506" s="126"/>
      <c r="Q506" s="126">
        <v>0</v>
      </c>
      <c r="R506" s="126"/>
      <c r="S506" s="126">
        <v>1</v>
      </c>
      <c r="T506" s="124"/>
      <c r="U506" s="126">
        <v>1</v>
      </c>
      <c r="V506" s="126"/>
      <c r="W506" s="126">
        <v>1</v>
      </c>
      <c r="X506" s="126">
        <v>1</v>
      </c>
      <c r="Y506" s="126">
        <v>0</v>
      </c>
      <c r="Z506" s="124">
        <v>0</v>
      </c>
      <c r="AA506" s="126">
        <v>0</v>
      </c>
      <c r="AB506" s="124">
        <v>0</v>
      </c>
      <c r="AC506" s="126">
        <v>0</v>
      </c>
      <c r="AD506" s="124">
        <v>0</v>
      </c>
      <c r="AE506" s="126">
        <v>2</v>
      </c>
      <c r="AF506" s="124">
        <v>0</v>
      </c>
      <c r="AG506" s="126">
        <v>0</v>
      </c>
      <c r="AH506" s="126">
        <v>0</v>
      </c>
      <c r="AI506" s="126"/>
      <c r="AJ506" s="126"/>
      <c r="AK506" s="101">
        <v>66</v>
      </c>
    </row>
    <row r="507" spans="1:37" s="127" customFormat="1" ht="15.75">
      <c r="A507" s="120">
        <v>505</v>
      </c>
      <c r="B507" s="126" t="s">
        <v>658</v>
      </c>
      <c r="C507" s="135" t="s">
        <v>595</v>
      </c>
      <c r="D507" s="122" t="str">
        <f>"9400215"</f>
        <v>9400215</v>
      </c>
      <c r="E507" s="135" t="s">
        <v>467</v>
      </c>
      <c r="F507" s="126" t="s">
        <v>28</v>
      </c>
      <c r="G507" s="121" t="s">
        <v>28</v>
      </c>
      <c r="H507" s="126" t="s">
        <v>28</v>
      </c>
      <c r="I507" s="126"/>
      <c r="J507" s="126"/>
      <c r="K507" s="126">
        <v>1</v>
      </c>
      <c r="L507" s="124">
        <v>1</v>
      </c>
      <c r="M507" s="126">
        <v>3</v>
      </c>
      <c r="N507" s="126">
        <v>1</v>
      </c>
      <c r="O507" s="126">
        <v>5</v>
      </c>
      <c r="P507" s="126"/>
      <c r="Q507" s="126">
        <v>4</v>
      </c>
      <c r="R507" s="126">
        <v>1</v>
      </c>
      <c r="S507" s="126">
        <v>1</v>
      </c>
      <c r="T507" s="124"/>
      <c r="U507" s="126">
        <v>1</v>
      </c>
      <c r="V507" s="126"/>
      <c r="W507" s="126">
        <v>2</v>
      </c>
      <c r="X507" s="126">
        <v>2</v>
      </c>
      <c r="Y507" s="126">
        <v>0</v>
      </c>
      <c r="Z507" s="124">
        <v>0</v>
      </c>
      <c r="AA507" s="126">
        <v>0</v>
      </c>
      <c r="AB507" s="124">
        <v>0</v>
      </c>
      <c r="AC507" s="126">
        <v>0</v>
      </c>
      <c r="AD507" s="124">
        <v>0</v>
      </c>
      <c r="AE507" s="126">
        <v>5</v>
      </c>
      <c r="AF507" s="124">
        <v>0</v>
      </c>
      <c r="AG507" s="126">
        <v>0</v>
      </c>
      <c r="AH507" s="126">
        <v>0</v>
      </c>
      <c r="AI507" s="126" t="s">
        <v>841</v>
      </c>
      <c r="AJ507" s="126" t="s">
        <v>841</v>
      </c>
      <c r="AK507" s="101">
        <v>145</v>
      </c>
    </row>
    <row r="508" spans="1:37" s="127" customFormat="1" ht="15.75">
      <c r="A508" s="120">
        <v>506</v>
      </c>
      <c r="B508" s="126" t="s">
        <v>658</v>
      </c>
      <c r="C508" s="135" t="s">
        <v>596</v>
      </c>
      <c r="D508" s="122" t="str">
        <f>"9400230"</f>
        <v>9400230</v>
      </c>
      <c r="E508" s="135" t="s">
        <v>467</v>
      </c>
      <c r="F508" s="126" t="s">
        <v>28</v>
      </c>
      <c r="G508" s="121" t="s">
        <v>28</v>
      </c>
      <c r="H508" s="126" t="s">
        <v>28</v>
      </c>
      <c r="I508" s="126">
        <v>6</v>
      </c>
      <c r="J508" s="126">
        <v>2</v>
      </c>
      <c r="K508" s="126">
        <v>2</v>
      </c>
      <c r="L508" s="124">
        <v>1</v>
      </c>
      <c r="M508" s="126">
        <v>2</v>
      </c>
      <c r="N508" s="126">
        <v>1</v>
      </c>
      <c r="O508" s="126">
        <v>4</v>
      </c>
      <c r="P508" s="126"/>
      <c r="Q508" s="126">
        <v>3</v>
      </c>
      <c r="R508" s="126">
        <v>1</v>
      </c>
      <c r="S508" s="126">
        <v>1</v>
      </c>
      <c r="T508" s="124"/>
      <c r="U508" s="126">
        <v>6</v>
      </c>
      <c r="V508" s="126"/>
      <c r="W508" s="126">
        <v>4</v>
      </c>
      <c r="X508" s="126">
        <v>4</v>
      </c>
      <c r="Y508" s="126">
        <v>1</v>
      </c>
      <c r="Z508" s="124">
        <v>1</v>
      </c>
      <c r="AA508" s="126" t="s">
        <v>893</v>
      </c>
      <c r="AB508" s="124">
        <v>1</v>
      </c>
      <c r="AC508" s="126" t="s">
        <v>894</v>
      </c>
      <c r="AD508" s="124">
        <v>1</v>
      </c>
      <c r="AE508" s="126">
        <v>4</v>
      </c>
      <c r="AF508" s="124">
        <v>0</v>
      </c>
      <c r="AG508" s="126">
        <v>0</v>
      </c>
      <c r="AH508" s="126">
        <v>0</v>
      </c>
      <c r="AI508" s="126"/>
      <c r="AJ508" s="126"/>
      <c r="AK508" s="101">
        <v>105</v>
      </c>
    </row>
    <row r="509" spans="1:37" s="127" customFormat="1" ht="15.75">
      <c r="A509" s="120">
        <v>507</v>
      </c>
      <c r="B509" s="126" t="s">
        <v>658</v>
      </c>
      <c r="C509" s="135" t="s">
        <v>587</v>
      </c>
      <c r="D509" s="122" t="str">
        <f>"9400232"</f>
        <v>9400232</v>
      </c>
      <c r="E509" s="135" t="s">
        <v>467</v>
      </c>
      <c r="F509" s="126" t="s">
        <v>28</v>
      </c>
      <c r="G509" s="121" t="s">
        <v>28</v>
      </c>
      <c r="H509" s="126" t="s">
        <v>28</v>
      </c>
      <c r="I509" s="126"/>
      <c r="J509" s="126">
        <v>1</v>
      </c>
      <c r="K509" s="126"/>
      <c r="L509" s="124">
        <v>1</v>
      </c>
      <c r="M509" s="126"/>
      <c r="N509" s="126"/>
      <c r="O509" s="126"/>
      <c r="P509" s="126"/>
      <c r="Q509" s="126"/>
      <c r="R509" s="126"/>
      <c r="S509" s="126"/>
      <c r="T509" s="124"/>
      <c r="U509" s="126"/>
      <c r="V509" s="126"/>
      <c r="W509" s="126"/>
      <c r="X509" s="126"/>
      <c r="Y509" s="126"/>
      <c r="Z509" s="124">
        <v>0</v>
      </c>
      <c r="AA509" s="126"/>
      <c r="AB509" s="124">
        <v>0</v>
      </c>
      <c r="AC509" s="126"/>
      <c r="AD509" s="124">
        <v>0</v>
      </c>
      <c r="AE509" s="126"/>
      <c r="AF509" s="124">
        <v>0</v>
      </c>
      <c r="AG509" s="126"/>
      <c r="AH509" s="126"/>
      <c r="AI509" s="126"/>
      <c r="AJ509" s="126"/>
      <c r="AK509" s="101">
        <v>215</v>
      </c>
    </row>
    <row r="510" spans="1:37" s="127" customFormat="1" ht="15.75">
      <c r="A510" s="120">
        <v>508</v>
      </c>
      <c r="B510" s="126" t="s">
        <v>658</v>
      </c>
      <c r="C510" s="135" t="s">
        <v>610</v>
      </c>
      <c r="D510" s="122" t="str">
        <f>"9521346"</f>
        <v>9521346</v>
      </c>
      <c r="E510" s="121" t="s">
        <v>467</v>
      </c>
      <c r="F510" s="126" t="s">
        <v>28</v>
      </c>
      <c r="G510" s="121" t="s">
        <v>28</v>
      </c>
      <c r="H510" s="126" t="s">
        <v>671</v>
      </c>
      <c r="I510" s="126">
        <v>1</v>
      </c>
      <c r="J510" s="126">
        <v>1</v>
      </c>
      <c r="K510" s="126">
        <v>1</v>
      </c>
      <c r="L510" s="124">
        <v>1</v>
      </c>
      <c r="M510" s="126">
        <v>0</v>
      </c>
      <c r="N510" s="126"/>
      <c r="O510" s="126">
        <v>0</v>
      </c>
      <c r="P510" s="126"/>
      <c r="Q510" s="126">
        <v>0</v>
      </c>
      <c r="R510" s="126"/>
      <c r="S510" s="126">
        <v>0</v>
      </c>
      <c r="T510" s="124"/>
      <c r="U510" s="126">
        <v>0</v>
      </c>
      <c r="V510" s="126"/>
      <c r="W510" s="126">
        <v>1</v>
      </c>
      <c r="X510" s="126">
        <v>1</v>
      </c>
      <c r="Y510" s="126">
        <v>0</v>
      </c>
      <c r="Z510" s="124">
        <v>0</v>
      </c>
      <c r="AA510" s="126">
        <v>0</v>
      </c>
      <c r="AB510" s="124">
        <v>0</v>
      </c>
      <c r="AC510" s="126">
        <v>0</v>
      </c>
      <c r="AD510" s="124">
        <v>0</v>
      </c>
      <c r="AE510" s="126">
        <v>1</v>
      </c>
      <c r="AF510" s="124">
        <v>0</v>
      </c>
      <c r="AG510" s="126">
        <v>0</v>
      </c>
      <c r="AH510" s="126">
        <v>0</v>
      </c>
      <c r="AI510" s="126"/>
      <c r="AJ510" s="126"/>
      <c r="AK510" s="101">
        <v>106</v>
      </c>
    </row>
    <row r="511" spans="1:37" s="127" customFormat="1" ht="15.75">
      <c r="A511" s="120">
        <v>509</v>
      </c>
      <c r="B511" s="126" t="s">
        <v>658</v>
      </c>
      <c r="C511" s="135" t="s">
        <v>619</v>
      </c>
      <c r="D511" s="122" t="str">
        <f>"9400001"</f>
        <v>9400001</v>
      </c>
      <c r="E511" s="135" t="s">
        <v>468</v>
      </c>
      <c r="F511" s="126" t="s">
        <v>28</v>
      </c>
      <c r="G511" s="121" t="s">
        <v>283</v>
      </c>
      <c r="H511" s="126" t="s">
        <v>286</v>
      </c>
      <c r="I511" s="126"/>
      <c r="J511" s="126">
        <v>0</v>
      </c>
      <c r="K511" s="126"/>
      <c r="L511" s="124"/>
      <c r="M511" s="126"/>
      <c r="N511" s="126">
        <v>0</v>
      </c>
      <c r="O511" s="126"/>
      <c r="P511" s="126"/>
      <c r="Q511" s="126"/>
      <c r="R511" s="126"/>
      <c r="S511" s="126"/>
      <c r="T511" s="124"/>
      <c r="U511" s="126"/>
      <c r="V511" s="126"/>
      <c r="W511" s="126"/>
      <c r="X511" s="126"/>
      <c r="Y511" s="126"/>
      <c r="Z511" s="124">
        <v>0</v>
      </c>
      <c r="AA511" s="126"/>
      <c r="AB511" s="124"/>
      <c r="AC511" s="126"/>
      <c r="AD511" s="124">
        <v>0</v>
      </c>
      <c r="AE511" s="126"/>
      <c r="AF511" s="124">
        <v>0</v>
      </c>
      <c r="AG511" s="126"/>
      <c r="AH511" s="126"/>
      <c r="AI511" s="126"/>
      <c r="AJ511" s="126"/>
      <c r="AK511" s="101">
        <v>8</v>
      </c>
    </row>
    <row r="512" spans="1:37" s="127" customFormat="1" ht="15.75">
      <c r="A512" s="120">
        <v>510</v>
      </c>
      <c r="B512" s="126" t="s">
        <v>658</v>
      </c>
      <c r="C512" s="135" t="s">
        <v>624</v>
      </c>
      <c r="D512" s="122" t="str">
        <f>"9400004"</f>
        <v>9400004</v>
      </c>
      <c r="E512" s="135" t="s">
        <v>468</v>
      </c>
      <c r="F512" s="126" t="s">
        <v>28</v>
      </c>
      <c r="G512" s="121" t="s">
        <v>283</v>
      </c>
      <c r="H512" s="126" t="s">
        <v>286</v>
      </c>
      <c r="I512" s="126">
        <v>2</v>
      </c>
      <c r="J512" s="126">
        <v>0</v>
      </c>
      <c r="K512" s="126">
        <v>2</v>
      </c>
      <c r="L512" s="124">
        <v>1</v>
      </c>
      <c r="M512" s="126">
        <v>1</v>
      </c>
      <c r="N512" s="126">
        <v>1</v>
      </c>
      <c r="O512" s="126">
        <v>1</v>
      </c>
      <c r="P512" s="126"/>
      <c r="Q512" s="126">
        <v>1</v>
      </c>
      <c r="R512" s="126"/>
      <c r="S512" s="126">
        <v>1</v>
      </c>
      <c r="T512" s="124"/>
      <c r="U512" s="126">
        <v>1</v>
      </c>
      <c r="V512" s="126">
        <v>1</v>
      </c>
      <c r="W512" s="126">
        <v>1</v>
      </c>
      <c r="X512" s="126">
        <v>1</v>
      </c>
      <c r="Y512" s="126">
        <v>0</v>
      </c>
      <c r="Z512" s="124">
        <v>0</v>
      </c>
      <c r="AA512" s="126">
        <v>0</v>
      </c>
      <c r="AB512" s="124"/>
      <c r="AC512" s="126">
        <v>0</v>
      </c>
      <c r="AD512" s="124">
        <v>0</v>
      </c>
      <c r="AE512" s="126">
        <v>1</v>
      </c>
      <c r="AF512" s="124">
        <v>0</v>
      </c>
      <c r="AG512" s="126">
        <v>1</v>
      </c>
      <c r="AH512" s="126">
        <v>1</v>
      </c>
      <c r="AI512" s="126"/>
      <c r="AJ512" s="126"/>
      <c r="AK512" s="101">
        <v>13</v>
      </c>
    </row>
    <row r="513" spans="1:37" s="127" customFormat="1" ht="15.75">
      <c r="A513" s="120">
        <v>511</v>
      </c>
      <c r="B513" s="126" t="s">
        <v>658</v>
      </c>
      <c r="C513" s="135" t="s">
        <v>629</v>
      </c>
      <c r="D513" s="122" t="str">
        <f>"9400010"</f>
        <v>9400010</v>
      </c>
      <c r="E513" s="135" t="s">
        <v>468</v>
      </c>
      <c r="F513" s="126" t="s">
        <v>28</v>
      </c>
      <c r="G513" s="121" t="s">
        <v>283</v>
      </c>
      <c r="H513" s="126" t="s">
        <v>285</v>
      </c>
      <c r="I513" s="126">
        <v>2</v>
      </c>
      <c r="J513" s="126">
        <v>0</v>
      </c>
      <c r="K513" s="126">
        <v>2</v>
      </c>
      <c r="L513" s="124">
        <v>1</v>
      </c>
      <c r="M513" s="126">
        <v>2</v>
      </c>
      <c r="N513" s="126">
        <v>1</v>
      </c>
      <c r="O513" s="126">
        <v>2</v>
      </c>
      <c r="P513" s="126"/>
      <c r="Q513" s="126">
        <v>2</v>
      </c>
      <c r="R513" s="126"/>
      <c r="S513" s="126">
        <v>2</v>
      </c>
      <c r="T513" s="124"/>
      <c r="U513" s="126">
        <v>2</v>
      </c>
      <c r="V513" s="126">
        <v>1</v>
      </c>
      <c r="W513" s="126">
        <v>2</v>
      </c>
      <c r="X513" s="126">
        <v>2</v>
      </c>
      <c r="Y513" s="126">
        <v>1</v>
      </c>
      <c r="Z513" s="124">
        <v>0</v>
      </c>
      <c r="AA513" s="126">
        <v>0</v>
      </c>
      <c r="AB513" s="124"/>
      <c r="AC513" s="126">
        <v>0</v>
      </c>
      <c r="AD513" s="124">
        <v>0</v>
      </c>
      <c r="AE513" s="126">
        <v>2</v>
      </c>
      <c r="AF513" s="124">
        <v>0</v>
      </c>
      <c r="AG513" s="126">
        <v>2</v>
      </c>
      <c r="AH513" s="126">
        <v>2</v>
      </c>
      <c r="AI513" s="126"/>
      <c r="AJ513" s="126"/>
      <c r="AK513" s="101">
        <v>17</v>
      </c>
    </row>
    <row r="514" spans="1:37" s="127" customFormat="1" ht="15.75">
      <c r="A514" s="120">
        <v>512</v>
      </c>
      <c r="B514" s="126" t="s">
        <v>658</v>
      </c>
      <c r="C514" s="135" t="s">
        <v>623</v>
      </c>
      <c r="D514" s="122" t="str">
        <f>"9400011"</f>
        <v>9400011</v>
      </c>
      <c r="E514" s="135" t="s">
        <v>468</v>
      </c>
      <c r="F514" s="126" t="s">
        <v>28</v>
      </c>
      <c r="G514" s="121" t="s">
        <v>283</v>
      </c>
      <c r="H514" s="126" t="s">
        <v>285</v>
      </c>
      <c r="I514" s="126">
        <v>2</v>
      </c>
      <c r="J514" s="126">
        <v>0</v>
      </c>
      <c r="K514" s="126">
        <v>2</v>
      </c>
      <c r="L514" s="124">
        <v>1</v>
      </c>
      <c r="M514" s="126">
        <v>1</v>
      </c>
      <c r="N514" s="126">
        <v>1</v>
      </c>
      <c r="O514" s="126">
        <v>1</v>
      </c>
      <c r="P514" s="126"/>
      <c r="Q514" s="126">
        <v>1</v>
      </c>
      <c r="R514" s="126"/>
      <c r="S514" s="126">
        <v>0</v>
      </c>
      <c r="T514" s="124"/>
      <c r="U514" s="126">
        <v>0</v>
      </c>
      <c r="V514" s="126">
        <v>1</v>
      </c>
      <c r="W514" s="126">
        <v>2</v>
      </c>
      <c r="X514" s="126">
        <v>2</v>
      </c>
      <c r="Y514" s="126">
        <v>0</v>
      </c>
      <c r="Z514" s="124">
        <v>0</v>
      </c>
      <c r="AA514" s="126">
        <v>0</v>
      </c>
      <c r="AB514" s="124"/>
      <c r="AC514" s="126">
        <v>0</v>
      </c>
      <c r="AD514" s="124">
        <v>0</v>
      </c>
      <c r="AE514" s="126">
        <v>2</v>
      </c>
      <c r="AF514" s="124">
        <v>0</v>
      </c>
      <c r="AG514" s="126">
        <v>2</v>
      </c>
      <c r="AH514" s="126">
        <v>2</v>
      </c>
      <c r="AI514" s="126"/>
      <c r="AJ514" s="126"/>
      <c r="AK514" s="101">
        <v>34</v>
      </c>
    </row>
    <row r="515" spans="1:37" s="127" customFormat="1" ht="15.75">
      <c r="A515" s="120">
        <v>513</v>
      </c>
      <c r="B515" s="126" t="s">
        <v>658</v>
      </c>
      <c r="C515" s="135" t="s">
        <v>628</v>
      </c>
      <c r="D515" s="122" t="str">
        <f>"9400013"</f>
        <v>9400013</v>
      </c>
      <c r="E515" s="135" t="s">
        <v>468</v>
      </c>
      <c r="F515" s="126" t="s">
        <v>28</v>
      </c>
      <c r="G515" s="121" t="s">
        <v>283</v>
      </c>
      <c r="H515" s="126" t="s">
        <v>285</v>
      </c>
      <c r="I515" s="126">
        <v>1</v>
      </c>
      <c r="J515" s="126">
        <v>0</v>
      </c>
      <c r="K515" s="126">
        <v>1</v>
      </c>
      <c r="L515" s="124">
        <v>1</v>
      </c>
      <c r="M515" s="126">
        <v>0</v>
      </c>
      <c r="N515" s="126">
        <v>0</v>
      </c>
      <c r="O515" s="126">
        <v>1</v>
      </c>
      <c r="P515" s="126"/>
      <c r="Q515" s="126">
        <v>1</v>
      </c>
      <c r="R515" s="126"/>
      <c r="S515" s="126">
        <v>1</v>
      </c>
      <c r="T515" s="124"/>
      <c r="U515" s="126">
        <v>1</v>
      </c>
      <c r="V515" s="126">
        <v>1</v>
      </c>
      <c r="W515" s="126">
        <v>1</v>
      </c>
      <c r="X515" s="126">
        <v>1</v>
      </c>
      <c r="Y515" s="126">
        <v>1</v>
      </c>
      <c r="Z515" s="124">
        <v>0</v>
      </c>
      <c r="AA515" s="126">
        <v>0</v>
      </c>
      <c r="AB515" s="124"/>
      <c r="AC515" s="126">
        <v>0</v>
      </c>
      <c r="AD515" s="124">
        <v>0</v>
      </c>
      <c r="AE515" s="126">
        <v>1</v>
      </c>
      <c r="AF515" s="124">
        <v>0</v>
      </c>
      <c r="AG515" s="126">
        <v>1</v>
      </c>
      <c r="AH515" s="126">
        <v>1</v>
      </c>
      <c r="AI515" s="126"/>
      <c r="AJ515" s="126"/>
      <c r="AK515" s="101">
        <v>39</v>
      </c>
    </row>
    <row r="516" spans="1:37" s="127" customFormat="1" ht="15.75">
      <c r="A516" s="120">
        <v>514</v>
      </c>
      <c r="B516" s="126" t="s">
        <v>658</v>
      </c>
      <c r="C516" s="135" t="s">
        <v>640</v>
      </c>
      <c r="D516" s="122" t="str">
        <f>"9400017"</f>
        <v>9400017</v>
      </c>
      <c r="E516" s="135" t="s">
        <v>468</v>
      </c>
      <c r="F516" s="126" t="s">
        <v>28</v>
      </c>
      <c r="G516" s="121" t="s">
        <v>283</v>
      </c>
      <c r="H516" s="126" t="s">
        <v>661</v>
      </c>
      <c r="I516" s="126">
        <v>1</v>
      </c>
      <c r="J516" s="126">
        <v>0</v>
      </c>
      <c r="K516" s="126">
        <v>1</v>
      </c>
      <c r="L516" s="124">
        <v>1</v>
      </c>
      <c r="M516" s="126">
        <v>0</v>
      </c>
      <c r="N516" s="126">
        <v>0</v>
      </c>
      <c r="O516" s="126">
        <v>0</v>
      </c>
      <c r="P516" s="126"/>
      <c r="Q516" s="126">
        <v>0</v>
      </c>
      <c r="R516" s="126"/>
      <c r="S516" s="126">
        <v>0</v>
      </c>
      <c r="T516" s="124"/>
      <c r="U516" s="126">
        <v>0</v>
      </c>
      <c r="V516" s="126"/>
      <c r="W516" s="126">
        <v>0</v>
      </c>
      <c r="X516" s="126">
        <v>0</v>
      </c>
      <c r="Y516" s="126">
        <v>0</v>
      </c>
      <c r="Z516" s="124">
        <v>0</v>
      </c>
      <c r="AA516" s="126">
        <v>0</v>
      </c>
      <c r="AB516" s="124"/>
      <c r="AC516" s="126">
        <v>0</v>
      </c>
      <c r="AD516" s="124">
        <v>0</v>
      </c>
      <c r="AE516" s="126">
        <v>1</v>
      </c>
      <c r="AF516" s="124">
        <v>0</v>
      </c>
      <c r="AG516" s="126">
        <v>1</v>
      </c>
      <c r="AH516" s="126">
        <v>1</v>
      </c>
      <c r="AI516" s="126"/>
      <c r="AJ516" s="126"/>
      <c r="AK516" s="101">
        <v>7</v>
      </c>
    </row>
    <row r="517" spans="1:37" s="127" customFormat="1" ht="15.75">
      <c r="A517" s="120">
        <v>515</v>
      </c>
      <c r="B517" s="126" t="s">
        <v>658</v>
      </c>
      <c r="C517" s="135" t="s">
        <v>652</v>
      </c>
      <c r="D517" s="122" t="str">
        <f>"9400027"</f>
        <v>9400027</v>
      </c>
      <c r="E517" s="135" t="s">
        <v>468</v>
      </c>
      <c r="F517" s="126" t="s">
        <v>28</v>
      </c>
      <c r="G517" s="121" t="s">
        <v>283</v>
      </c>
      <c r="H517" s="126" t="s">
        <v>670</v>
      </c>
      <c r="I517" s="126">
        <v>1</v>
      </c>
      <c r="J517" s="126">
        <v>0</v>
      </c>
      <c r="K517" s="126">
        <v>1</v>
      </c>
      <c r="L517" s="124">
        <v>1</v>
      </c>
      <c r="M517" s="126">
        <v>1</v>
      </c>
      <c r="N517" s="126">
        <v>1</v>
      </c>
      <c r="O517" s="126">
        <v>1</v>
      </c>
      <c r="P517" s="126"/>
      <c r="Q517" s="126">
        <v>1</v>
      </c>
      <c r="R517" s="126"/>
      <c r="S517" s="126">
        <v>1</v>
      </c>
      <c r="T517" s="124"/>
      <c r="U517" s="126">
        <v>1</v>
      </c>
      <c r="V517" s="126">
        <v>1</v>
      </c>
      <c r="W517" s="126">
        <v>1</v>
      </c>
      <c r="X517" s="126">
        <v>1</v>
      </c>
      <c r="Y517" s="126">
        <v>1</v>
      </c>
      <c r="Z517" s="124">
        <v>0</v>
      </c>
      <c r="AA517" s="126">
        <v>0</v>
      </c>
      <c r="AB517" s="124"/>
      <c r="AC517" s="126">
        <v>0</v>
      </c>
      <c r="AD517" s="124">
        <v>0</v>
      </c>
      <c r="AE517" s="126">
        <v>1</v>
      </c>
      <c r="AF517" s="124">
        <v>0</v>
      </c>
      <c r="AG517" s="126">
        <v>1</v>
      </c>
      <c r="AH517" s="126">
        <v>1</v>
      </c>
      <c r="AI517" s="126"/>
      <c r="AJ517" s="126"/>
      <c r="AK517" s="101">
        <v>6</v>
      </c>
    </row>
    <row r="518" spans="1:37" s="127" customFormat="1" ht="15.75">
      <c r="A518" s="120">
        <v>516</v>
      </c>
      <c r="B518" s="126" t="s">
        <v>658</v>
      </c>
      <c r="C518" s="135" t="s">
        <v>649</v>
      </c>
      <c r="D518" s="122" t="str">
        <f>"9400054"</f>
        <v>9400054</v>
      </c>
      <c r="E518" s="135" t="s">
        <v>468</v>
      </c>
      <c r="F518" s="126" t="s">
        <v>28</v>
      </c>
      <c r="G518" s="121" t="s">
        <v>283</v>
      </c>
      <c r="H518" s="126" t="s">
        <v>668</v>
      </c>
      <c r="I518" s="126">
        <v>1</v>
      </c>
      <c r="J518" s="126">
        <v>0</v>
      </c>
      <c r="K518" s="126">
        <v>1</v>
      </c>
      <c r="L518" s="124">
        <v>1</v>
      </c>
      <c r="M518" s="126">
        <v>0</v>
      </c>
      <c r="N518" s="126">
        <v>0</v>
      </c>
      <c r="O518" s="126">
        <v>1</v>
      </c>
      <c r="P518" s="126">
        <v>1</v>
      </c>
      <c r="Q518" s="126">
        <v>1</v>
      </c>
      <c r="R518" s="126"/>
      <c r="S518" s="126">
        <v>1</v>
      </c>
      <c r="T518" s="124"/>
      <c r="U518" s="126">
        <v>1</v>
      </c>
      <c r="V518" s="126">
        <v>1</v>
      </c>
      <c r="W518" s="126">
        <v>1</v>
      </c>
      <c r="X518" s="126">
        <v>1</v>
      </c>
      <c r="Y518" s="126">
        <v>0</v>
      </c>
      <c r="Z518" s="124">
        <v>0</v>
      </c>
      <c r="AA518" s="126">
        <v>0</v>
      </c>
      <c r="AB518" s="124"/>
      <c r="AC518" s="126">
        <v>0</v>
      </c>
      <c r="AD518" s="124">
        <v>0</v>
      </c>
      <c r="AE518" s="126">
        <v>2</v>
      </c>
      <c r="AF518" s="124">
        <v>0</v>
      </c>
      <c r="AG518" s="126">
        <v>2</v>
      </c>
      <c r="AH518" s="126">
        <v>2</v>
      </c>
      <c r="AI518" s="126"/>
      <c r="AJ518" s="126"/>
      <c r="AK518" s="101">
        <v>12</v>
      </c>
    </row>
    <row r="519" spans="1:37" s="127" customFormat="1" ht="15.75">
      <c r="A519" s="120">
        <v>517</v>
      </c>
      <c r="B519" s="126" t="s">
        <v>658</v>
      </c>
      <c r="C519" s="135" t="s">
        <v>655</v>
      </c>
      <c r="D519" s="122" t="str">
        <f>"9400076"</f>
        <v>9400076</v>
      </c>
      <c r="E519" s="135" t="s">
        <v>468</v>
      </c>
      <c r="F519" s="126" t="s">
        <v>28</v>
      </c>
      <c r="G519" s="121" t="s">
        <v>283</v>
      </c>
      <c r="H519" s="126" t="s">
        <v>680</v>
      </c>
      <c r="I519" s="126">
        <v>0</v>
      </c>
      <c r="J519" s="126">
        <v>0</v>
      </c>
      <c r="K519" s="126">
        <v>0</v>
      </c>
      <c r="L519" s="124"/>
      <c r="M519" s="126">
        <v>0</v>
      </c>
      <c r="N519" s="126">
        <v>0</v>
      </c>
      <c r="O519" s="126">
        <v>1</v>
      </c>
      <c r="P519" s="126">
        <v>1</v>
      </c>
      <c r="Q519" s="126">
        <v>0</v>
      </c>
      <c r="R519" s="126"/>
      <c r="S519" s="126">
        <v>0</v>
      </c>
      <c r="T519" s="124"/>
      <c r="U519" s="126">
        <v>0</v>
      </c>
      <c r="V519" s="126"/>
      <c r="W519" s="126">
        <v>1</v>
      </c>
      <c r="X519" s="126">
        <v>1</v>
      </c>
      <c r="Y519" s="126">
        <v>1</v>
      </c>
      <c r="Z519" s="124">
        <v>0</v>
      </c>
      <c r="AA519" s="126">
        <v>0</v>
      </c>
      <c r="AB519" s="124"/>
      <c r="AC519" s="126">
        <v>0</v>
      </c>
      <c r="AD519" s="124">
        <v>0</v>
      </c>
      <c r="AE519" s="126">
        <v>1</v>
      </c>
      <c r="AF519" s="124">
        <v>0</v>
      </c>
      <c r="AG519" s="126">
        <v>1</v>
      </c>
      <c r="AH519" s="126">
        <v>1</v>
      </c>
      <c r="AI519" s="126"/>
      <c r="AJ519" s="126"/>
      <c r="AK519" s="101">
        <v>7</v>
      </c>
    </row>
    <row r="520" spans="1:37" s="127" customFormat="1" ht="15.75">
      <c r="A520" s="120">
        <v>518</v>
      </c>
      <c r="B520" s="126" t="s">
        <v>658</v>
      </c>
      <c r="C520" s="135" t="s">
        <v>654</v>
      </c>
      <c r="D520" s="122" t="str">
        <f>"9400201"</f>
        <v>9400201</v>
      </c>
      <c r="E520" s="135" t="s">
        <v>468</v>
      </c>
      <c r="F520" s="126" t="s">
        <v>28</v>
      </c>
      <c r="G520" s="121" t="s">
        <v>283</v>
      </c>
      <c r="H520" s="126" t="s">
        <v>679</v>
      </c>
      <c r="I520" s="126"/>
      <c r="J520" s="126">
        <v>0</v>
      </c>
      <c r="K520" s="126"/>
      <c r="L520" s="124"/>
      <c r="M520" s="126"/>
      <c r="N520" s="126">
        <v>0</v>
      </c>
      <c r="O520" s="126"/>
      <c r="P520" s="126"/>
      <c r="Q520" s="126"/>
      <c r="R520" s="126"/>
      <c r="S520" s="126"/>
      <c r="T520" s="124"/>
      <c r="U520" s="126"/>
      <c r="V520" s="126"/>
      <c r="W520" s="126"/>
      <c r="X520" s="126"/>
      <c r="Y520" s="126"/>
      <c r="Z520" s="124">
        <v>0</v>
      </c>
      <c r="AA520" s="126"/>
      <c r="AB520" s="124"/>
      <c r="AC520" s="126"/>
      <c r="AD520" s="124">
        <v>0</v>
      </c>
      <c r="AE520" s="126"/>
      <c r="AF520" s="124">
        <v>0</v>
      </c>
      <c r="AG520" s="126"/>
      <c r="AH520" s="126"/>
      <c r="AI520" s="126"/>
      <c r="AJ520" s="126"/>
      <c r="AK520" s="101"/>
    </row>
    <row r="521" spans="1:37" s="127" customFormat="1" ht="15.75">
      <c r="A521" s="120">
        <v>519</v>
      </c>
      <c r="B521" s="126" t="s">
        <v>658</v>
      </c>
      <c r="C521" s="135" t="s">
        <v>638</v>
      </c>
      <c r="D521" s="122" t="str">
        <f>"9400206"</f>
        <v>9400206</v>
      </c>
      <c r="E521" s="135" t="s">
        <v>468</v>
      </c>
      <c r="F521" s="126" t="s">
        <v>28</v>
      </c>
      <c r="G521" s="121" t="s">
        <v>283</v>
      </c>
      <c r="H521" s="126" t="s">
        <v>676</v>
      </c>
      <c r="I521" s="126">
        <v>1</v>
      </c>
      <c r="J521" s="126">
        <v>0</v>
      </c>
      <c r="K521" s="126">
        <v>0</v>
      </c>
      <c r="L521" s="124"/>
      <c r="M521" s="126">
        <v>1</v>
      </c>
      <c r="N521" s="126">
        <v>1</v>
      </c>
      <c r="O521" s="126">
        <v>1</v>
      </c>
      <c r="P521" s="126"/>
      <c r="Q521" s="126">
        <v>0</v>
      </c>
      <c r="R521" s="126"/>
      <c r="S521" s="126">
        <v>0</v>
      </c>
      <c r="T521" s="124"/>
      <c r="U521" s="126">
        <v>0</v>
      </c>
      <c r="V521" s="126"/>
      <c r="W521" s="126">
        <v>0</v>
      </c>
      <c r="X521" s="126">
        <v>0</v>
      </c>
      <c r="Y521" s="126">
        <v>0</v>
      </c>
      <c r="Z521" s="124">
        <v>0</v>
      </c>
      <c r="AA521" s="126">
        <v>0</v>
      </c>
      <c r="AB521" s="124"/>
      <c r="AC521" s="126">
        <v>0</v>
      </c>
      <c r="AD521" s="124">
        <v>0</v>
      </c>
      <c r="AE521" s="126">
        <v>0</v>
      </c>
      <c r="AF521" s="124">
        <v>0</v>
      </c>
      <c r="AG521" s="126">
        <v>1</v>
      </c>
      <c r="AH521" s="126">
        <v>1</v>
      </c>
      <c r="AI521" s="126"/>
      <c r="AJ521" s="126"/>
      <c r="AK521" s="101">
        <v>5</v>
      </c>
    </row>
    <row r="522" spans="1:37" s="127" customFormat="1" ht="15.75">
      <c r="A522" s="120">
        <v>520</v>
      </c>
      <c r="B522" s="126" t="s">
        <v>658</v>
      </c>
      <c r="C522" s="135" t="s">
        <v>657</v>
      </c>
      <c r="D522" s="122" t="str">
        <f>"9400210"</f>
        <v>9400210</v>
      </c>
      <c r="E522" s="135" t="s">
        <v>468</v>
      </c>
      <c r="F522" s="126" t="s">
        <v>28</v>
      </c>
      <c r="G522" s="121" t="s">
        <v>283</v>
      </c>
      <c r="H522" s="126" t="s">
        <v>673</v>
      </c>
      <c r="I522" s="126">
        <v>1</v>
      </c>
      <c r="J522" s="126">
        <v>0</v>
      </c>
      <c r="K522" s="126">
        <v>2</v>
      </c>
      <c r="L522" s="124">
        <v>1</v>
      </c>
      <c r="M522" s="126">
        <v>1</v>
      </c>
      <c r="N522" s="126">
        <v>1</v>
      </c>
      <c r="O522" s="126">
        <v>1</v>
      </c>
      <c r="P522" s="126"/>
      <c r="Q522" s="126">
        <v>1</v>
      </c>
      <c r="R522" s="126"/>
      <c r="S522" s="126">
        <v>1</v>
      </c>
      <c r="T522" s="124"/>
      <c r="U522" s="126">
        <v>1</v>
      </c>
      <c r="V522" s="126">
        <v>1</v>
      </c>
      <c r="W522" s="126">
        <v>1</v>
      </c>
      <c r="X522" s="126">
        <v>1</v>
      </c>
      <c r="Y522" s="126">
        <v>1</v>
      </c>
      <c r="Z522" s="124">
        <v>0</v>
      </c>
      <c r="AA522" s="126" t="s">
        <v>896</v>
      </c>
      <c r="AB522" s="124"/>
      <c r="AC522" s="126" t="s">
        <v>896</v>
      </c>
      <c r="AD522" s="124">
        <v>0</v>
      </c>
      <c r="AE522" s="126">
        <v>1</v>
      </c>
      <c r="AF522" s="124">
        <v>0</v>
      </c>
      <c r="AG522" s="126">
        <v>1</v>
      </c>
      <c r="AH522" s="126">
        <v>1</v>
      </c>
      <c r="AI522" s="126"/>
      <c r="AJ522" s="126"/>
      <c r="AK522" s="101">
        <v>9</v>
      </c>
    </row>
    <row r="523" spans="1:37" s="127" customFormat="1" ht="15.75">
      <c r="A523" s="120">
        <v>521</v>
      </c>
      <c r="B523" s="126" t="s">
        <v>658</v>
      </c>
      <c r="C523" s="135" t="s">
        <v>631</v>
      </c>
      <c r="D523" s="122" t="str">
        <f>"9400237"</f>
        <v>9400237</v>
      </c>
      <c r="E523" s="135" t="s">
        <v>468</v>
      </c>
      <c r="F523" s="126" t="s">
        <v>28</v>
      </c>
      <c r="G523" s="121" t="s">
        <v>283</v>
      </c>
      <c r="H523" s="126" t="s">
        <v>285</v>
      </c>
      <c r="I523" s="126">
        <v>2</v>
      </c>
      <c r="J523" s="126">
        <v>0</v>
      </c>
      <c r="K523" s="126">
        <v>1</v>
      </c>
      <c r="L523" s="124">
        <v>1</v>
      </c>
      <c r="M523" s="126">
        <v>0</v>
      </c>
      <c r="N523" s="126">
        <v>0</v>
      </c>
      <c r="O523" s="126">
        <v>1</v>
      </c>
      <c r="P523" s="126">
        <v>1</v>
      </c>
      <c r="Q523" s="126">
        <v>1</v>
      </c>
      <c r="R523" s="126"/>
      <c r="S523" s="126">
        <v>1</v>
      </c>
      <c r="T523" s="124"/>
      <c r="U523" s="126">
        <v>1</v>
      </c>
      <c r="V523" s="126">
        <v>1</v>
      </c>
      <c r="W523" s="126">
        <v>1</v>
      </c>
      <c r="X523" s="126">
        <v>1</v>
      </c>
      <c r="Y523" s="126">
        <v>0</v>
      </c>
      <c r="Z523" s="124">
        <v>0</v>
      </c>
      <c r="AA523" s="126">
        <v>0</v>
      </c>
      <c r="AB523" s="124"/>
      <c r="AC523" s="126">
        <v>0</v>
      </c>
      <c r="AD523" s="124">
        <v>0</v>
      </c>
      <c r="AE523" s="126">
        <v>2</v>
      </c>
      <c r="AF523" s="124">
        <v>0</v>
      </c>
      <c r="AG523" s="126">
        <v>2</v>
      </c>
      <c r="AH523" s="126">
        <v>2</v>
      </c>
      <c r="AI523" s="126"/>
      <c r="AJ523" s="126"/>
      <c r="AK523" s="101">
        <v>17</v>
      </c>
    </row>
    <row r="524" spans="1:37" s="127" customFormat="1" ht="15.75">
      <c r="A524" s="120">
        <v>522</v>
      </c>
      <c r="B524" s="126" t="s">
        <v>658</v>
      </c>
      <c r="C524" s="135" t="s">
        <v>621</v>
      </c>
      <c r="D524" s="122" t="str">
        <f>"9400095"</f>
        <v>9400095</v>
      </c>
      <c r="E524" s="135" t="s">
        <v>468</v>
      </c>
      <c r="F524" s="126" t="s">
        <v>28</v>
      </c>
      <c r="G524" s="121" t="s">
        <v>284</v>
      </c>
      <c r="H524" s="126" t="s">
        <v>284</v>
      </c>
      <c r="I524" s="126">
        <v>2</v>
      </c>
      <c r="J524" s="126">
        <v>1</v>
      </c>
      <c r="K524" s="126">
        <v>2</v>
      </c>
      <c r="L524" s="124">
        <v>1</v>
      </c>
      <c r="M524" s="126">
        <v>1</v>
      </c>
      <c r="N524" s="126">
        <v>1</v>
      </c>
      <c r="O524" s="126">
        <v>1</v>
      </c>
      <c r="P524" s="126"/>
      <c r="Q524" s="126">
        <v>1</v>
      </c>
      <c r="R524" s="126"/>
      <c r="S524" s="126">
        <v>1</v>
      </c>
      <c r="T524" s="124"/>
      <c r="U524" s="126">
        <v>1</v>
      </c>
      <c r="V524" s="126">
        <v>1</v>
      </c>
      <c r="W524" s="126">
        <v>1</v>
      </c>
      <c r="X524" s="126">
        <v>1</v>
      </c>
      <c r="Y524" s="126">
        <v>1</v>
      </c>
      <c r="Z524" s="124">
        <v>0</v>
      </c>
      <c r="AA524" s="126">
        <v>1</v>
      </c>
      <c r="AB524" s="124"/>
      <c r="AC524" s="126">
        <v>1</v>
      </c>
      <c r="AD524" s="124">
        <v>0</v>
      </c>
      <c r="AE524" s="126">
        <v>0</v>
      </c>
      <c r="AF524" s="124">
        <v>0</v>
      </c>
      <c r="AG524" s="126">
        <v>1</v>
      </c>
      <c r="AH524" s="126">
        <v>1</v>
      </c>
      <c r="AI524" s="126"/>
      <c r="AJ524" s="126"/>
      <c r="AK524" s="101">
        <v>25</v>
      </c>
    </row>
    <row r="525" spans="1:37" s="127" customFormat="1" ht="15.75">
      <c r="A525" s="120">
        <v>523</v>
      </c>
      <c r="B525" s="126" t="s">
        <v>658</v>
      </c>
      <c r="C525" s="135" t="s">
        <v>639</v>
      </c>
      <c r="D525" s="122" t="str">
        <f>"9400108"</f>
        <v>9400108</v>
      </c>
      <c r="E525" s="135" t="s">
        <v>468</v>
      </c>
      <c r="F525" s="126" t="s">
        <v>28</v>
      </c>
      <c r="G525" s="121" t="s">
        <v>284</v>
      </c>
      <c r="H525" s="126" t="s">
        <v>660</v>
      </c>
      <c r="I525" s="126">
        <v>1</v>
      </c>
      <c r="J525" s="126">
        <v>0</v>
      </c>
      <c r="K525" s="126">
        <v>1</v>
      </c>
      <c r="L525" s="124">
        <v>1</v>
      </c>
      <c r="M525" s="126">
        <v>1</v>
      </c>
      <c r="N525" s="126">
        <v>1</v>
      </c>
      <c r="O525" s="126">
        <v>1</v>
      </c>
      <c r="P525" s="126"/>
      <c r="Q525" s="126">
        <v>1</v>
      </c>
      <c r="R525" s="126"/>
      <c r="S525" s="126">
        <v>1</v>
      </c>
      <c r="T525" s="124"/>
      <c r="U525" s="126">
        <v>1</v>
      </c>
      <c r="V525" s="126">
        <v>1</v>
      </c>
      <c r="W525" s="126">
        <v>1</v>
      </c>
      <c r="X525" s="126">
        <v>1</v>
      </c>
      <c r="Y525" s="126">
        <v>1</v>
      </c>
      <c r="Z525" s="124">
        <v>0</v>
      </c>
      <c r="AA525" s="126">
        <v>1</v>
      </c>
      <c r="AB525" s="124"/>
      <c r="AC525" s="126" t="s">
        <v>895</v>
      </c>
      <c r="AD525" s="124">
        <v>0</v>
      </c>
      <c r="AE525" s="126">
        <v>1</v>
      </c>
      <c r="AF525" s="124">
        <v>0</v>
      </c>
      <c r="AG525" s="126">
        <v>1</v>
      </c>
      <c r="AH525" s="126">
        <v>1</v>
      </c>
      <c r="AI525" s="126"/>
      <c r="AJ525" s="126"/>
      <c r="AK525" s="101">
        <v>8</v>
      </c>
    </row>
    <row r="526" spans="1:37" s="127" customFormat="1" ht="15.75">
      <c r="A526" s="120">
        <v>524</v>
      </c>
      <c r="B526" s="126" t="s">
        <v>658</v>
      </c>
      <c r="C526" s="135" t="s">
        <v>641</v>
      </c>
      <c r="D526" s="122" t="str">
        <f>"9400113"</f>
        <v>9400113</v>
      </c>
      <c r="E526" s="135" t="s">
        <v>468</v>
      </c>
      <c r="F526" s="126" t="s">
        <v>28</v>
      </c>
      <c r="G526" s="121" t="s">
        <v>284</v>
      </c>
      <c r="H526" s="126" t="s">
        <v>662</v>
      </c>
      <c r="I526" s="126">
        <v>1</v>
      </c>
      <c r="J526" s="126">
        <v>0</v>
      </c>
      <c r="K526" s="126">
        <v>1</v>
      </c>
      <c r="L526" s="124">
        <v>1</v>
      </c>
      <c r="M526" s="126">
        <v>1</v>
      </c>
      <c r="N526" s="126">
        <v>1</v>
      </c>
      <c r="O526" s="126">
        <v>1</v>
      </c>
      <c r="P526" s="126"/>
      <c r="Q526" s="126">
        <v>0</v>
      </c>
      <c r="R526" s="126"/>
      <c r="S526" s="126">
        <v>1</v>
      </c>
      <c r="T526" s="124"/>
      <c r="U526" s="126">
        <v>1</v>
      </c>
      <c r="V526" s="126">
        <v>1</v>
      </c>
      <c r="W526" s="126">
        <v>1</v>
      </c>
      <c r="X526" s="126">
        <v>1</v>
      </c>
      <c r="Y526" s="126">
        <v>1</v>
      </c>
      <c r="Z526" s="124">
        <v>0</v>
      </c>
      <c r="AA526" s="126">
        <v>0</v>
      </c>
      <c r="AB526" s="124"/>
      <c r="AC526" s="126">
        <v>0</v>
      </c>
      <c r="AD526" s="124">
        <v>0</v>
      </c>
      <c r="AE526" s="126">
        <v>1</v>
      </c>
      <c r="AF526" s="124">
        <v>0</v>
      </c>
      <c r="AG526" s="126">
        <v>2</v>
      </c>
      <c r="AH526" s="126">
        <v>2</v>
      </c>
      <c r="AI526" s="126"/>
      <c r="AJ526" s="126"/>
      <c r="AK526" s="101">
        <v>7</v>
      </c>
    </row>
    <row r="527" spans="1:37" s="127" customFormat="1" ht="15.75">
      <c r="A527" s="120">
        <v>525</v>
      </c>
      <c r="B527" s="126" t="s">
        <v>658</v>
      </c>
      <c r="C527" s="135" t="s">
        <v>642</v>
      </c>
      <c r="D527" s="122" t="str">
        <f>"9400127"</f>
        <v>9400127</v>
      </c>
      <c r="E527" s="135" t="s">
        <v>468</v>
      </c>
      <c r="F527" s="126" t="s">
        <v>28</v>
      </c>
      <c r="G527" s="121" t="s">
        <v>284</v>
      </c>
      <c r="H527" s="126" t="s">
        <v>663</v>
      </c>
      <c r="I527" s="126"/>
      <c r="J527" s="126">
        <v>0</v>
      </c>
      <c r="K527" s="126"/>
      <c r="L527" s="124"/>
      <c r="M527" s="126"/>
      <c r="N527" s="126">
        <v>0</v>
      </c>
      <c r="O527" s="126"/>
      <c r="P527" s="126"/>
      <c r="Q527" s="126"/>
      <c r="R527" s="126"/>
      <c r="S527" s="126"/>
      <c r="T527" s="124"/>
      <c r="U527" s="126"/>
      <c r="V527" s="126"/>
      <c r="W527" s="126"/>
      <c r="X527" s="126"/>
      <c r="Y527" s="126"/>
      <c r="Z527" s="124">
        <v>0</v>
      </c>
      <c r="AA527" s="126"/>
      <c r="AB527" s="124"/>
      <c r="AC527" s="126"/>
      <c r="AD527" s="124">
        <v>0</v>
      </c>
      <c r="AE527" s="126"/>
      <c r="AF527" s="124">
        <v>0</v>
      </c>
      <c r="AG527" s="126"/>
      <c r="AH527" s="126"/>
      <c r="AI527" s="126"/>
      <c r="AJ527" s="126"/>
      <c r="AK527" s="101"/>
    </row>
    <row r="528" spans="1:37" s="127" customFormat="1" ht="15.75">
      <c r="A528" s="120">
        <v>526</v>
      </c>
      <c r="B528" s="126" t="s">
        <v>658</v>
      </c>
      <c r="C528" s="135" t="s">
        <v>620</v>
      </c>
      <c r="D528" s="122" t="str">
        <f>"9400142"</f>
        <v>9400142</v>
      </c>
      <c r="E528" s="135" t="s">
        <v>468</v>
      </c>
      <c r="F528" s="126" t="s">
        <v>28</v>
      </c>
      <c r="G528" s="121" t="s">
        <v>284</v>
      </c>
      <c r="H528" s="126" t="s">
        <v>287</v>
      </c>
      <c r="I528" s="126"/>
      <c r="J528" s="126">
        <v>0</v>
      </c>
      <c r="K528" s="126"/>
      <c r="L528" s="124"/>
      <c r="M528" s="126"/>
      <c r="N528" s="126">
        <v>0</v>
      </c>
      <c r="O528" s="126"/>
      <c r="P528" s="126"/>
      <c r="Q528" s="126"/>
      <c r="R528" s="126"/>
      <c r="S528" s="126"/>
      <c r="T528" s="124"/>
      <c r="U528" s="126"/>
      <c r="V528" s="126"/>
      <c r="W528" s="126"/>
      <c r="X528" s="126"/>
      <c r="Y528" s="126"/>
      <c r="Z528" s="124">
        <v>0</v>
      </c>
      <c r="AA528" s="126"/>
      <c r="AB528" s="124"/>
      <c r="AC528" s="126"/>
      <c r="AD528" s="124">
        <v>0</v>
      </c>
      <c r="AE528" s="126"/>
      <c r="AF528" s="124">
        <v>0</v>
      </c>
      <c r="AG528" s="126"/>
      <c r="AH528" s="126"/>
      <c r="AI528" s="126"/>
      <c r="AJ528" s="126"/>
      <c r="AK528" s="101">
        <v>21</v>
      </c>
    </row>
    <row r="529" spans="1:37" s="127" customFormat="1" ht="15.75">
      <c r="A529" s="120">
        <v>527</v>
      </c>
      <c r="B529" s="126" t="s">
        <v>658</v>
      </c>
      <c r="C529" s="135" t="s">
        <v>646</v>
      </c>
      <c r="D529" s="122" t="str">
        <f>"9400163"</f>
        <v>9400163</v>
      </c>
      <c r="E529" s="135" t="s">
        <v>468</v>
      </c>
      <c r="F529" s="126" t="s">
        <v>28</v>
      </c>
      <c r="G529" s="121" t="s">
        <v>284</v>
      </c>
      <c r="H529" s="126" t="s">
        <v>665</v>
      </c>
      <c r="I529" s="126">
        <v>1</v>
      </c>
      <c r="J529" s="126">
        <v>0</v>
      </c>
      <c r="K529" s="126">
        <v>1</v>
      </c>
      <c r="L529" s="124">
        <v>1</v>
      </c>
      <c r="M529" s="126">
        <v>1</v>
      </c>
      <c r="N529" s="126">
        <v>1</v>
      </c>
      <c r="O529" s="126">
        <v>1</v>
      </c>
      <c r="P529" s="126"/>
      <c r="Q529" s="126">
        <v>1</v>
      </c>
      <c r="R529" s="126"/>
      <c r="S529" s="126">
        <v>1</v>
      </c>
      <c r="T529" s="124"/>
      <c r="U529" s="126">
        <v>1</v>
      </c>
      <c r="V529" s="126">
        <v>1</v>
      </c>
      <c r="W529" s="126">
        <v>1</v>
      </c>
      <c r="X529" s="126">
        <v>1</v>
      </c>
      <c r="Y529" s="126">
        <v>1</v>
      </c>
      <c r="Z529" s="124">
        <v>0</v>
      </c>
      <c r="AA529" s="126">
        <v>0</v>
      </c>
      <c r="AB529" s="124"/>
      <c r="AC529" s="126">
        <v>0</v>
      </c>
      <c r="AD529" s="124">
        <v>0</v>
      </c>
      <c r="AE529" s="126">
        <v>1</v>
      </c>
      <c r="AF529" s="124">
        <v>0</v>
      </c>
      <c r="AG529" s="126">
        <v>1</v>
      </c>
      <c r="AH529" s="126">
        <v>1</v>
      </c>
      <c r="AI529" s="126"/>
      <c r="AJ529" s="126"/>
      <c r="AK529" s="101">
        <v>21</v>
      </c>
    </row>
    <row r="530" spans="1:37" s="127" customFormat="1" ht="15.75">
      <c r="A530" s="120">
        <v>528</v>
      </c>
      <c r="B530" s="126" t="s">
        <v>658</v>
      </c>
      <c r="C530" s="135" t="s">
        <v>625</v>
      </c>
      <c r="D530" s="122" t="str">
        <f>"9400208"</f>
        <v>9400208</v>
      </c>
      <c r="E530" s="135" t="s">
        <v>468</v>
      </c>
      <c r="F530" s="126" t="s">
        <v>28</v>
      </c>
      <c r="G530" s="121" t="s">
        <v>284</v>
      </c>
      <c r="H530" s="126" t="s">
        <v>287</v>
      </c>
      <c r="I530" s="126">
        <v>1</v>
      </c>
      <c r="J530" s="126">
        <v>0</v>
      </c>
      <c r="K530" s="126">
        <v>1</v>
      </c>
      <c r="L530" s="124">
        <v>1</v>
      </c>
      <c r="M530" s="126">
        <v>1</v>
      </c>
      <c r="N530" s="126">
        <v>1</v>
      </c>
      <c r="O530" s="126">
        <v>1</v>
      </c>
      <c r="P530" s="126"/>
      <c r="Q530" s="126">
        <v>1</v>
      </c>
      <c r="R530" s="126"/>
      <c r="S530" s="126">
        <v>1</v>
      </c>
      <c r="T530" s="124"/>
      <c r="U530" s="126">
        <v>1</v>
      </c>
      <c r="V530" s="126">
        <v>1</v>
      </c>
      <c r="W530" s="126">
        <v>1</v>
      </c>
      <c r="X530" s="126">
        <v>1</v>
      </c>
      <c r="Y530" s="126">
        <v>1</v>
      </c>
      <c r="Z530" s="124">
        <v>0</v>
      </c>
      <c r="AA530" s="126">
        <v>0</v>
      </c>
      <c r="AB530" s="124"/>
      <c r="AC530" s="126">
        <v>0</v>
      </c>
      <c r="AD530" s="124">
        <v>0</v>
      </c>
      <c r="AE530" s="126">
        <v>1</v>
      </c>
      <c r="AF530" s="124">
        <v>0</v>
      </c>
      <c r="AG530" s="126">
        <v>1</v>
      </c>
      <c r="AH530" s="126">
        <v>1</v>
      </c>
      <c r="AI530" s="126"/>
      <c r="AJ530" s="126"/>
      <c r="AK530" s="101">
        <v>31</v>
      </c>
    </row>
    <row r="531" spans="1:37" s="127" customFormat="1" ht="15.75">
      <c r="A531" s="120">
        <v>529</v>
      </c>
      <c r="B531" s="126" t="s">
        <v>658</v>
      </c>
      <c r="C531" s="135" t="s">
        <v>626</v>
      </c>
      <c r="D531" s="122" t="str">
        <f>"9520612"</f>
        <v>9520612</v>
      </c>
      <c r="E531" s="121" t="s">
        <v>468</v>
      </c>
      <c r="F531" s="126" t="s">
        <v>28</v>
      </c>
      <c r="G531" s="121" t="s">
        <v>284</v>
      </c>
      <c r="H531" s="126" t="s">
        <v>284</v>
      </c>
      <c r="I531" s="126"/>
      <c r="J531" s="126">
        <v>0</v>
      </c>
      <c r="K531" s="126"/>
      <c r="L531" s="124"/>
      <c r="M531" s="126"/>
      <c r="N531" s="126">
        <v>0</v>
      </c>
      <c r="O531" s="126"/>
      <c r="P531" s="126"/>
      <c r="Q531" s="126"/>
      <c r="R531" s="126"/>
      <c r="S531" s="126"/>
      <c r="T531" s="124"/>
      <c r="U531" s="126"/>
      <c r="V531" s="126"/>
      <c r="W531" s="126"/>
      <c r="X531" s="126"/>
      <c r="Y531" s="126"/>
      <c r="Z531" s="124">
        <v>0</v>
      </c>
      <c r="AA531" s="126"/>
      <c r="AB531" s="124"/>
      <c r="AC531" s="126"/>
      <c r="AD531" s="124">
        <v>0</v>
      </c>
      <c r="AE531" s="126"/>
      <c r="AF531" s="124">
        <v>0</v>
      </c>
      <c r="AG531" s="126"/>
      <c r="AH531" s="126"/>
      <c r="AI531" s="126"/>
      <c r="AJ531" s="126"/>
      <c r="AK531" s="101">
        <v>33</v>
      </c>
    </row>
    <row r="532" spans="1:37" s="127" customFormat="1" ht="15.75">
      <c r="A532" s="120">
        <v>530</v>
      </c>
      <c r="B532" s="126" t="s">
        <v>658</v>
      </c>
      <c r="C532" s="135" t="s">
        <v>613</v>
      </c>
      <c r="D532" s="135"/>
      <c r="E532" s="135" t="s">
        <v>468</v>
      </c>
      <c r="F532" s="126" t="s">
        <v>28</v>
      </c>
      <c r="G532" s="121" t="s">
        <v>284</v>
      </c>
      <c r="H532" s="126" t="s">
        <v>674</v>
      </c>
      <c r="I532" s="126">
        <v>10</v>
      </c>
      <c r="J532" s="126">
        <v>2</v>
      </c>
      <c r="K532" s="126">
        <v>0</v>
      </c>
      <c r="L532" s="124"/>
      <c r="M532" s="126">
        <v>1</v>
      </c>
      <c r="N532" s="126">
        <v>1</v>
      </c>
      <c r="O532" s="126">
        <v>0</v>
      </c>
      <c r="P532" s="126"/>
      <c r="Q532" s="126">
        <v>1</v>
      </c>
      <c r="R532" s="126"/>
      <c r="S532" s="126">
        <v>1</v>
      </c>
      <c r="T532" s="124"/>
      <c r="U532" s="126">
        <v>0</v>
      </c>
      <c r="V532" s="126">
        <v>1</v>
      </c>
      <c r="W532" s="126">
        <v>5</v>
      </c>
      <c r="X532" s="126">
        <v>5</v>
      </c>
      <c r="Y532" s="126">
        <v>1</v>
      </c>
      <c r="Z532" s="124">
        <v>0</v>
      </c>
      <c r="AA532" s="126">
        <v>0</v>
      </c>
      <c r="AB532" s="124"/>
      <c r="AC532" s="126">
        <v>0</v>
      </c>
      <c r="AD532" s="124">
        <v>0</v>
      </c>
      <c r="AE532" s="126">
        <v>14</v>
      </c>
      <c r="AF532" s="124">
        <v>0</v>
      </c>
      <c r="AG532" s="126">
        <v>0</v>
      </c>
      <c r="AH532" s="126">
        <v>0</v>
      </c>
      <c r="AI532" s="126"/>
      <c r="AJ532" s="126"/>
      <c r="AK532" s="104"/>
    </row>
    <row r="533" spans="1:37" s="127" customFormat="1" ht="15.75">
      <c r="A533" s="120">
        <v>531</v>
      </c>
      <c r="B533" s="126" t="s">
        <v>658</v>
      </c>
      <c r="C533" s="135" t="s">
        <v>622</v>
      </c>
      <c r="D533" s="122" t="str">
        <f>"9400008"</f>
        <v>9400008</v>
      </c>
      <c r="E533" s="135" t="s">
        <v>468</v>
      </c>
      <c r="F533" s="126" t="s">
        <v>28</v>
      </c>
      <c r="G533" s="121" t="s">
        <v>28</v>
      </c>
      <c r="H533" s="126" t="s">
        <v>28</v>
      </c>
      <c r="I533" s="126">
        <v>1</v>
      </c>
      <c r="J533" s="126">
        <v>0</v>
      </c>
      <c r="K533" s="126">
        <v>0</v>
      </c>
      <c r="L533" s="124"/>
      <c r="M533" s="126">
        <v>0</v>
      </c>
      <c r="N533" s="126">
        <v>0</v>
      </c>
      <c r="O533" s="126">
        <v>1</v>
      </c>
      <c r="P533" s="126">
        <v>1</v>
      </c>
      <c r="Q533" s="126">
        <v>1</v>
      </c>
      <c r="R533" s="126"/>
      <c r="S533" s="126">
        <v>0</v>
      </c>
      <c r="T533" s="124"/>
      <c r="U533" s="126">
        <v>1</v>
      </c>
      <c r="V533" s="126">
        <v>1</v>
      </c>
      <c r="W533" s="126">
        <v>1</v>
      </c>
      <c r="X533" s="126">
        <v>1</v>
      </c>
      <c r="Y533" s="126">
        <v>1</v>
      </c>
      <c r="Z533" s="124">
        <v>0</v>
      </c>
      <c r="AA533" s="126">
        <v>0</v>
      </c>
      <c r="AB533" s="124"/>
      <c r="AC533" s="126">
        <v>0</v>
      </c>
      <c r="AD533" s="124">
        <v>0</v>
      </c>
      <c r="AE533" s="126">
        <v>1</v>
      </c>
      <c r="AF533" s="124">
        <v>0</v>
      </c>
      <c r="AG533" s="126">
        <v>0</v>
      </c>
      <c r="AH533" s="126">
        <v>0</v>
      </c>
      <c r="AI533" s="126"/>
      <c r="AJ533" s="126"/>
      <c r="AK533" s="101">
        <v>19</v>
      </c>
    </row>
    <row r="534" spans="1:37" s="127" customFormat="1" ht="15.75">
      <c r="A534" s="120">
        <v>532</v>
      </c>
      <c r="B534" s="126" t="s">
        <v>658</v>
      </c>
      <c r="C534" s="135" t="s">
        <v>645</v>
      </c>
      <c r="D534" s="122" t="str">
        <f>"9400047"</f>
        <v>9400047</v>
      </c>
      <c r="E534" s="135" t="s">
        <v>468</v>
      </c>
      <c r="F534" s="126" t="s">
        <v>28</v>
      </c>
      <c r="G534" s="121" t="s">
        <v>28</v>
      </c>
      <c r="H534" s="126" t="s">
        <v>288</v>
      </c>
      <c r="I534" s="126">
        <v>0</v>
      </c>
      <c r="J534" s="126">
        <v>0</v>
      </c>
      <c r="K534" s="126">
        <v>0</v>
      </c>
      <c r="L534" s="124"/>
      <c r="M534" s="126">
        <v>0</v>
      </c>
      <c r="N534" s="126">
        <v>0</v>
      </c>
      <c r="O534" s="126">
        <v>0</v>
      </c>
      <c r="P534" s="126"/>
      <c r="Q534" s="126">
        <v>0</v>
      </c>
      <c r="R534" s="126"/>
      <c r="S534" s="126">
        <v>1</v>
      </c>
      <c r="T534" s="124"/>
      <c r="U534" s="126">
        <v>1</v>
      </c>
      <c r="V534" s="126">
        <v>1</v>
      </c>
      <c r="W534" s="126">
        <v>0</v>
      </c>
      <c r="X534" s="126">
        <v>0</v>
      </c>
      <c r="Y534" s="126">
        <v>0</v>
      </c>
      <c r="Z534" s="124">
        <v>0</v>
      </c>
      <c r="AA534" s="126">
        <v>0</v>
      </c>
      <c r="AB534" s="124"/>
      <c r="AC534" s="126">
        <v>0</v>
      </c>
      <c r="AD534" s="124">
        <v>0</v>
      </c>
      <c r="AE534" s="126">
        <v>0</v>
      </c>
      <c r="AF534" s="124">
        <v>0</v>
      </c>
      <c r="AG534" s="126">
        <v>1</v>
      </c>
      <c r="AH534" s="126">
        <v>1</v>
      </c>
      <c r="AI534" s="126"/>
      <c r="AJ534" s="126"/>
      <c r="AK534" s="101">
        <v>20</v>
      </c>
    </row>
    <row r="535" spans="1:37" s="127" customFormat="1" ht="15.75">
      <c r="A535" s="120">
        <v>533</v>
      </c>
      <c r="B535" s="126" t="s">
        <v>658</v>
      </c>
      <c r="C535" s="135" t="s">
        <v>650</v>
      </c>
      <c r="D535" s="122" t="str">
        <f>"9400057"</f>
        <v>9400057</v>
      </c>
      <c r="E535" s="135" t="s">
        <v>468</v>
      </c>
      <c r="F535" s="126" t="s">
        <v>28</v>
      </c>
      <c r="G535" s="121" t="s">
        <v>28</v>
      </c>
      <c r="H535" s="126" t="s">
        <v>289</v>
      </c>
      <c r="I535" s="126">
        <v>1</v>
      </c>
      <c r="J535" s="126">
        <v>0</v>
      </c>
      <c r="K535" s="126">
        <v>0</v>
      </c>
      <c r="L535" s="124"/>
      <c r="M535" s="126">
        <v>0</v>
      </c>
      <c r="N535" s="126">
        <v>0</v>
      </c>
      <c r="O535" s="126">
        <v>0</v>
      </c>
      <c r="P535" s="126"/>
      <c r="Q535" s="126">
        <v>0</v>
      </c>
      <c r="R535" s="126"/>
      <c r="S535" s="126">
        <v>0</v>
      </c>
      <c r="T535" s="124"/>
      <c r="U535" s="126">
        <v>0</v>
      </c>
      <c r="V535" s="126"/>
      <c r="W535" s="126">
        <v>0</v>
      </c>
      <c r="X535" s="126">
        <v>0</v>
      </c>
      <c r="Y535" s="126">
        <v>0</v>
      </c>
      <c r="Z535" s="124">
        <v>0</v>
      </c>
      <c r="AA535" s="126">
        <v>0</v>
      </c>
      <c r="AB535" s="124"/>
      <c r="AC535" s="126">
        <v>0</v>
      </c>
      <c r="AD535" s="124">
        <v>0</v>
      </c>
      <c r="AE535" s="126">
        <v>0</v>
      </c>
      <c r="AF535" s="124">
        <v>0</v>
      </c>
      <c r="AG535" s="126">
        <v>0</v>
      </c>
      <c r="AH535" s="126">
        <v>0</v>
      </c>
      <c r="AI535" s="126"/>
      <c r="AJ535" s="126"/>
      <c r="AK535" s="101">
        <v>5</v>
      </c>
    </row>
    <row r="536" spans="1:37" s="127" customFormat="1" ht="15.75">
      <c r="A536" s="120">
        <v>534</v>
      </c>
      <c r="B536" s="126" t="s">
        <v>658</v>
      </c>
      <c r="C536" s="135" t="s">
        <v>637</v>
      </c>
      <c r="D536" s="122" t="str">
        <f>"9400058"</f>
        <v>9400058</v>
      </c>
      <c r="E536" s="135" t="s">
        <v>468</v>
      </c>
      <c r="F536" s="126" t="s">
        <v>28</v>
      </c>
      <c r="G536" s="121" t="s">
        <v>28</v>
      </c>
      <c r="H536" s="126" t="s">
        <v>675</v>
      </c>
      <c r="I536" s="126"/>
      <c r="J536" s="126">
        <v>0</v>
      </c>
      <c r="K536" s="126"/>
      <c r="L536" s="124"/>
      <c r="M536" s="126"/>
      <c r="N536" s="126">
        <v>0</v>
      </c>
      <c r="O536" s="126"/>
      <c r="P536" s="126"/>
      <c r="Q536" s="126"/>
      <c r="R536" s="126"/>
      <c r="S536" s="126"/>
      <c r="T536" s="124"/>
      <c r="U536" s="126"/>
      <c r="V536" s="126"/>
      <c r="W536" s="126"/>
      <c r="X536" s="126"/>
      <c r="Y536" s="126"/>
      <c r="Z536" s="124">
        <v>0</v>
      </c>
      <c r="AA536" s="126"/>
      <c r="AB536" s="124"/>
      <c r="AC536" s="126"/>
      <c r="AD536" s="124">
        <v>0</v>
      </c>
      <c r="AE536" s="126"/>
      <c r="AF536" s="124">
        <v>0</v>
      </c>
      <c r="AG536" s="126"/>
      <c r="AH536" s="126"/>
      <c r="AI536" s="126"/>
      <c r="AJ536" s="126"/>
      <c r="AK536" s="101"/>
    </row>
    <row r="537" spans="1:37" s="127" customFormat="1" ht="15.75">
      <c r="A537" s="120">
        <v>535</v>
      </c>
      <c r="B537" s="126" t="s">
        <v>658</v>
      </c>
      <c r="C537" s="135" t="s">
        <v>651</v>
      </c>
      <c r="D537" s="122" t="str">
        <f>"9400060"</f>
        <v>9400060</v>
      </c>
      <c r="E537" s="135" t="s">
        <v>468</v>
      </c>
      <c r="F537" s="126" t="s">
        <v>28</v>
      </c>
      <c r="G537" s="121" t="s">
        <v>28</v>
      </c>
      <c r="H537" s="126" t="s">
        <v>669</v>
      </c>
      <c r="I537" s="126"/>
      <c r="J537" s="126">
        <v>0</v>
      </c>
      <c r="K537" s="126"/>
      <c r="L537" s="124"/>
      <c r="M537" s="126"/>
      <c r="N537" s="126">
        <v>0</v>
      </c>
      <c r="O537" s="126"/>
      <c r="P537" s="126"/>
      <c r="Q537" s="126"/>
      <c r="R537" s="126"/>
      <c r="S537" s="126"/>
      <c r="T537" s="124"/>
      <c r="U537" s="126"/>
      <c r="V537" s="126"/>
      <c r="W537" s="126"/>
      <c r="X537" s="126"/>
      <c r="Y537" s="126"/>
      <c r="Z537" s="124">
        <v>0</v>
      </c>
      <c r="AA537" s="126"/>
      <c r="AB537" s="124"/>
      <c r="AC537" s="126"/>
      <c r="AD537" s="124">
        <v>0</v>
      </c>
      <c r="AE537" s="126"/>
      <c r="AF537" s="124">
        <v>0</v>
      </c>
      <c r="AG537" s="126"/>
      <c r="AH537" s="126"/>
      <c r="AI537" s="126"/>
      <c r="AJ537" s="126"/>
      <c r="AK537" s="101">
        <v>8</v>
      </c>
    </row>
    <row r="538" spans="1:37" s="127" customFormat="1" ht="15.75">
      <c r="A538" s="120">
        <v>536</v>
      </c>
      <c r="B538" s="126" t="s">
        <v>658</v>
      </c>
      <c r="C538" s="135" t="s">
        <v>653</v>
      </c>
      <c r="D538" s="122" t="str">
        <f>"9400086"</f>
        <v>9400086</v>
      </c>
      <c r="E538" s="135" t="s">
        <v>468</v>
      </c>
      <c r="F538" s="126" t="s">
        <v>28</v>
      </c>
      <c r="G538" s="121" t="s">
        <v>28</v>
      </c>
      <c r="H538" s="126" t="s">
        <v>678</v>
      </c>
      <c r="I538" s="126"/>
      <c r="J538" s="126">
        <v>0</v>
      </c>
      <c r="K538" s="126"/>
      <c r="L538" s="124"/>
      <c r="M538" s="126"/>
      <c r="N538" s="126">
        <v>0</v>
      </c>
      <c r="O538" s="126"/>
      <c r="P538" s="126"/>
      <c r="Q538" s="126"/>
      <c r="R538" s="126"/>
      <c r="S538" s="126"/>
      <c r="T538" s="124"/>
      <c r="U538" s="126"/>
      <c r="V538" s="126"/>
      <c r="W538" s="126"/>
      <c r="X538" s="126"/>
      <c r="Y538" s="126"/>
      <c r="Z538" s="124">
        <v>0</v>
      </c>
      <c r="AA538" s="126"/>
      <c r="AB538" s="124"/>
      <c r="AC538" s="126"/>
      <c r="AD538" s="124">
        <v>0</v>
      </c>
      <c r="AE538" s="126"/>
      <c r="AF538" s="124">
        <v>0</v>
      </c>
      <c r="AG538" s="126"/>
      <c r="AH538" s="126"/>
      <c r="AI538" s="126"/>
      <c r="AJ538" s="126"/>
      <c r="AK538" s="101"/>
    </row>
    <row r="539" spans="1:37" s="127" customFormat="1" ht="15.75">
      <c r="A539" s="120">
        <v>537</v>
      </c>
      <c r="B539" s="126" t="s">
        <v>658</v>
      </c>
      <c r="C539" s="135" t="s">
        <v>616</v>
      </c>
      <c r="D539" s="122" t="str">
        <f>"9400098"</f>
        <v>9400098</v>
      </c>
      <c r="E539" s="135" t="s">
        <v>468</v>
      </c>
      <c r="F539" s="126" t="s">
        <v>28</v>
      </c>
      <c r="G539" s="121" t="s">
        <v>28</v>
      </c>
      <c r="H539" s="126" t="s">
        <v>28</v>
      </c>
      <c r="I539" s="126"/>
      <c r="J539" s="126">
        <v>0</v>
      </c>
      <c r="K539" s="126"/>
      <c r="L539" s="124"/>
      <c r="M539" s="126"/>
      <c r="N539" s="126">
        <v>0</v>
      </c>
      <c r="O539" s="126"/>
      <c r="P539" s="126"/>
      <c r="Q539" s="126"/>
      <c r="R539" s="126"/>
      <c r="S539" s="126"/>
      <c r="T539" s="124"/>
      <c r="U539" s="126"/>
      <c r="V539" s="126"/>
      <c r="W539" s="126"/>
      <c r="X539" s="126"/>
      <c r="Y539" s="126"/>
      <c r="Z539" s="124">
        <v>0</v>
      </c>
      <c r="AA539" s="126"/>
      <c r="AB539" s="124"/>
      <c r="AC539" s="126"/>
      <c r="AD539" s="124">
        <v>0</v>
      </c>
      <c r="AE539" s="126"/>
      <c r="AF539" s="124">
        <v>0</v>
      </c>
      <c r="AG539" s="126"/>
      <c r="AH539" s="126"/>
      <c r="AI539" s="126"/>
      <c r="AJ539" s="126"/>
      <c r="AK539" s="101">
        <v>28</v>
      </c>
    </row>
    <row r="540" spans="1:37" s="127" customFormat="1" ht="15.75">
      <c r="A540" s="120">
        <v>538</v>
      </c>
      <c r="B540" s="126" t="s">
        <v>658</v>
      </c>
      <c r="C540" s="135" t="s">
        <v>627</v>
      </c>
      <c r="D540" s="122" t="str">
        <f>"9400103"</f>
        <v>9400103</v>
      </c>
      <c r="E540" s="135" t="s">
        <v>468</v>
      </c>
      <c r="F540" s="126" t="s">
        <v>28</v>
      </c>
      <c r="G540" s="121" t="s">
        <v>28</v>
      </c>
      <c r="H540" s="126" t="s">
        <v>28</v>
      </c>
      <c r="I540" s="126"/>
      <c r="J540" s="126">
        <v>0</v>
      </c>
      <c r="K540" s="126"/>
      <c r="L540" s="124"/>
      <c r="M540" s="126"/>
      <c r="N540" s="126">
        <v>0</v>
      </c>
      <c r="O540" s="126"/>
      <c r="P540" s="126"/>
      <c r="Q540" s="126"/>
      <c r="R540" s="126"/>
      <c r="S540" s="126"/>
      <c r="T540" s="124"/>
      <c r="U540" s="126"/>
      <c r="V540" s="126"/>
      <c r="W540" s="126"/>
      <c r="X540" s="126"/>
      <c r="Y540" s="126"/>
      <c r="Z540" s="124">
        <v>0</v>
      </c>
      <c r="AA540" s="126"/>
      <c r="AB540" s="124"/>
      <c r="AC540" s="126"/>
      <c r="AD540" s="124">
        <v>0</v>
      </c>
      <c r="AE540" s="126"/>
      <c r="AF540" s="124">
        <v>0</v>
      </c>
      <c r="AG540" s="126"/>
      <c r="AH540" s="126"/>
      <c r="AI540" s="126"/>
      <c r="AJ540" s="126"/>
      <c r="AK540" s="101">
        <v>33</v>
      </c>
    </row>
    <row r="541" spans="1:37" s="127" customFormat="1" ht="15.75">
      <c r="A541" s="120">
        <v>539</v>
      </c>
      <c r="B541" s="126" t="s">
        <v>658</v>
      </c>
      <c r="C541" s="135" t="s">
        <v>643</v>
      </c>
      <c r="D541" s="122" t="str">
        <f>"9400140"</f>
        <v>9400140</v>
      </c>
      <c r="E541" s="135" t="s">
        <v>468</v>
      </c>
      <c r="F541" s="126" t="s">
        <v>28</v>
      </c>
      <c r="G541" s="121" t="s">
        <v>28</v>
      </c>
      <c r="H541" s="126" t="s">
        <v>664</v>
      </c>
      <c r="I541" s="126">
        <v>2</v>
      </c>
      <c r="J541" s="126">
        <v>0</v>
      </c>
      <c r="K541" s="126">
        <v>0</v>
      </c>
      <c r="L541" s="124"/>
      <c r="M541" s="126">
        <v>0</v>
      </c>
      <c r="N541" s="126">
        <v>0</v>
      </c>
      <c r="O541" s="126">
        <v>0</v>
      </c>
      <c r="P541" s="126"/>
      <c r="Q541" s="126">
        <v>1</v>
      </c>
      <c r="R541" s="126"/>
      <c r="S541" s="126">
        <v>1</v>
      </c>
      <c r="T541" s="124"/>
      <c r="U541" s="126">
        <v>1</v>
      </c>
      <c r="V541" s="126">
        <v>1</v>
      </c>
      <c r="W541" s="126">
        <v>1</v>
      </c>
      <c r="X541" s="126">
        <v>1</v>
      </c>
      <c r="Y541" s="126">
        <v>1</v>
      </c>
      <c r="Z541" s="124">
        <v>0</v>
      </c>
      <c r="AA541" s="126">
        <v>0</v>
      </c>
      <c r="AB541" s="124"/>
      <c r="AC541" s="126">
        <v>0</v>
      </c>
      <c r="AD541" s="124">
        <v>0</v>
      </c>
      <c r="AE541" s="126">
        <v>0</v>
      </c>
      <c r="AF541" s="124">
        <v>0</v>
      </c>
      <c r="AG541" s="126">
        <v>1</v>
      </c>
      <c r="AH541" s="126">
        <v>1</v>
      </c>
      <c r="AI541" s="126"/>
      <c r="AJ541" s="126"/>
      <c r="AK541" s="101">
        <v>15</v>
      </c>
    </row>
    <row r="542" spans="1:37" s="127" customFormat="1" ht="15.75">
      <c r="A542" s="120">
        <v>540</v>
      </c>
      <c r="B542" s="126" t="s">
        <v>658</v>
      </c>
      <c r="C542" s="135" t="s">
        <v>656</v>
      </c>
      <c r="D542" s="122" t="str">
        <f>"9400189"</f>
        <v>9400189</v>
      </c>
      <c r="E542" s="135" t="s">
        <v>468</v>
      </c>
      <c r="F542" s="126" t="s">
        <v>28</v>
      </c>
      <c r="G542" s="121" t="s">
        <v>28</v>
      </c>
      <c r="H542" s="126" t="s">
        <v>672</v>
      </c>
      <c r="I542" s="126">
        <v>1</v>
      </c>
      <c r="J542" s="126">
        <v>0</v>
      </c>
      <c r="K542" s="126">
        <v>0</v>
      </c>
      <c r="L542" s="124"/>
      <c r="M542" s="126">
        <v>0</v>
      </c>
      <c r="N542" s="126">
        <v>0</v>
      </c>
      <c r="O542" s="126">
        <v>1</v>
      </c>
      <c r="P542" s="126">
        <v>1</v>
      </c>
      <c r="Q542" s="126">
        <v>0</v>
      </c>
      <c r="R542" s="126"/>
      <c r="S542" s="126">
        <v>1</v>
      </c>
      <c r="T542" s="124"/>
      <c r="U542" s="126">
        <v>1</v>
      </c>
      <c r="V542" s="126">
        <v>1</v>
      </c>
      <c r="W542" s="126">
        <v>0</v>
      </c>
      <c r="X542" s="126">
        <v>0</v>
      </c>
      <c r="Y542" s="126">
        <v>0</v>
      </c>
      <c r="Z542" s="124">
        <v>0</v>
      </c>
      <c r="AA542" s="126">
        <v>0</v>
      </c>
      <c r="AB542" s="124"/>
      <c r="AC542" s="126">
        <v>0</v>
      </c>
      <c r="AD542" s="124">
        <v>0</v>
      </c>
      <c r="AE542" s="126">
        <v>0</v>
      </c>
      <c r="AF542" s="124">
        <v>0</v>
      </c>
      <c r="AG542" s="126">
        <v>1</v>
      </c>
      <c r="AH542" s="126">
        <v>1</v>
      </c>
      <c r="AI542" s="126"/>
      <c r="AJ542" s="126"/>
      <c r="AK542" s="101">
        <v>9</v>
      </c>
    </row>
    <row r="543" spans="1:37" s="127" customFormat="1" ht="15.75">
      <c r="A543" s="120">
        <v>541</v>
      </c>
      <c r="B543" s="126" t="s">
        <v>658</v>
      </c>
      <c r="C543" s="135" t="s">
        <v>630</v>
      </c>
      <c r="D543" s="122" t="str">
        <f>"9400194"</f>
        <v>9400194</v>
      </c>
      <c r="E543" s="135" t="s">
        <v>468</v>
      </c>
      <c r="F543" s="126" t="s">
        <v>28</v>
      </c>
      <c r="G543" s="121" t="s">
        <v>28</v>
      </c>
      <c r="H543" s="126" t="s">
        <v>28</v>
      </c>
      <c r="I543" s="126">
        <v>1</v>
      </c>
      <c r="J543" s="126">
        <v>0</v>
      </c>
      <c r="K543" s="126">
        <v>3</v>
      </c>
      <c r="L543" s="124">
        <v>1</v>
      </c>
      <c r="M543" s="126">
        <v>1</v>
      </c>
      <c r="N543" s="126">
        <v>1</v>
      </c>
      <c r="O543" s="126">
        <v>0</v>
      </c>
      <c r="P543" s="126"/>
      <c r="Q543" s="126">
        <v>1</v>
      </c>
      <c r="R543" s="126"/>
      <c r="S543" s="126">
        <v>1</v>
      </c>
      <c r="T543" s="124"/>
      <c r="U543" s="126">
        <v>1</v>
      </c>
      <c r="V543" s="126">
        <v>1</v>
      </c>
      <c r="W543" s="126">
        <v>3</v>
      </c>
      <c r="X543" s="126">
        <v>3</v>
      </c>
      <c r="Y543" s="126">
        <v>3</v>
      </c>
      <c r="Z543" s="124">
        <v>0</v>
      </c>
      <c r="AA543" s="126">
        <v>0</v>
      </c>
      <c r="AB543" s="124"/>
      <c r="AC543" s="126">
        <v>0</v>
      </c>
      <c r="AD543" s="124">
        <v>0</v>
      </c>
      <c r="AE543" s="126">
        <v>2</v>
      </c>
      <c r="AF543" s="124">
        <v>0</v>
      </c>
      <c r="AG543" s="126">
        <v>3</v>
      </c>
      <c r="AH543" s="126">
        <v>3</v>
      </c>
      <c r="AI543" s="126"/>
      <c r="AJ543" s="126"/>
      <c r="AK543" s="101">
        <v>30</v>
      </c>
    </row>
    <row r="544" spans="1:37" s="127" customFormat="1" ht="15.75">
      <c r="A544" s="120">
        <v>542</v>
      </c>
      <c r="B544" s="126" t="s">
        <v>658</v>
      </c>
      <c r="C544" s="135" t="s">
        <v>615</v>
      </c>
      <c r="D544" s="122" t="str">
        <f>"9400195"</f>
        <v>9400195</v>
      </c>
      <c r="E544" s="135" t="s">
        <v>468</v>
      </c>
      <c r="F544" s="126" t="s">
        <v>28</v>
      </c>
      <c r="G544" s="121" t="s">
        <v>28</v>
      </c>
      <c r="H544" s="126" t="s">
        <v>28</v>
      </c>
      <c r="I544" s="126"/>
      <c r="J544" s="126">
        <v>0</v>
      </c>
      <c r="K544" s="126"/>
      <c r="L544" s="124"/>
      <c r="M544" s="126"/>
      <c r="N544" s="126">
        <v>0</v>
      </c>
      <c r="O544" s="126"/>
      <c r="P544" s="126"/>
      <c r="Q544" s="126"/>
      <c r="R544" s="126"/>
      <c r="S544" s="126"/>
      <c r="T544" s="124"/>
      <c r="U544" s="126"/>
      <c r="V544" s="126"/>
      <c r="W544" s="126"/>
      <c r="X544" s="126"/>
      <c r="Y544" s="126"/>
      <c r="Z544" s="124">
        <v>0</v>
      </c>
      <c r="AA544" s="126"/>
      <c r="AB544" s="124"/>
      <c r="AC544" s="126"/>
      <c r="AD544" s="124">
        <v>0</v>
      </c>
      <c r="AE544" s="126"/>
      <c r="AF544" s="124">
        <v>0</v>
      </c>
      <c r="AG544" s="126"/>
      <c r="AH544" s="126"/>
      <c r="AI544" s="126"/>
      <c r="AJ544" s="126"/>
      <c r="AK544" s="101">
        <v>23</v>
      </c>
    </row>
    <row r="545" spans="1:38" s="127" customFormat="1" ht="15.75">
      <c r="A545" s="120">
        <v>543</v>
      </c>
      <c r="B545" s="126" t="s">
        <v>658</v>
      </c>
      <c r="C545" s="135" t="s">
        <v>648</v>
      </c>
      <c r="D545" s="122" t="str">
        <f>"9400205"</f>
        <v>9400205</v>
      </c>
      <c r="E545" s="135" t="s">
        <v>468</v>
      </c>
      <c r="F545" s="126" t="s">
        <v>28</v>
      </c>
      <c r="G545" s="121" t="s">
        <v>28</v>
      </c>
      <c r="H545" s="126" t="s">
        <v>667</v>
      </c>
      <c r="I545" s="126"/>
      <c r="J545" s="126">
        <v>0</v>
      </c>
      <c r="K545" s="126">
        <v>1</v>
      </c>
      <c r="L545" s="124">
        <v>1</v>
      </c>
      <c r="M545" s="126">
        <v>0</v>
      </c>
      <c r="N545" s="126">
        <v>0</v>
      </c>
      <c r="O545" s="126">
        <v>1</v>
      </c>
      <c r="P545" s="126">
        <v>1</v>
      </c>
      <c r="Q545" s="126">
        <v>1</v>
      </c>
      <c r="R545" s="126"/>
      <c r="S545" s="126">
        <v>1</v>
      </c>
      <c r="T545" s="124"/>
      <c r="U545" s="126">
        <v>1</v>
      </c>
      <c r="V545" s="126">
        <v>1</v>
      </c>
      <c r="W545" s="126">
        <v>1</v>
      </c>
      <c r="X545" s="126">
        <v>1</v>
      </c>
      <c r="Y545" s="126">
        <v>0</v>
      </c>
      <c r="Z545" s="124">
        <v>0</v>
      </c>
      <c r="AA545" s="126">
        <v>0</v>
      </c>
      <c r="AB545" s="124"/>
      <c r="AC545" s="126">
        <v>0</v>
      </c>
      <c r="AD545" s="124">
        <v>0</v>
      </c>
      <c r="AE545" s="126">
        <v>1</v>
      </c>
      <c r="AF545" s="124">
        <v>0</v>
      </c>
      <c r="AG545" s="126">
        <v>1</v>
      </c>
      <c r="AH545" s="126">
        <v>1</v>
      </c>
      <c r="AI545" s="126" t="s">
        <v>834</v>
      </c>
      <c r="AJ545" s="126" t="s">
        <v>834</v>
      </c>
      <c r="AK545" s="101">
        <v>14</v>
      </c>
    </row>
    <row r="546" spans="1:38" s="127" customFormat="1" ht="15.75">
      <c r="A546" s="120">
        <v>544</v>
      </c>
      <c r="B546" s="126" t="s">
        <v>658</v>
      </c>
      <c r="C546" s="135" t="s">
        <v>632</v>
      </c>
      <c r="D546" s="122" t="str">
        <f>"9400207"</f>
        <v>9400207</v>
      </c>
      <c r="E546" s="135" t="s">
        <v>468</v>
      </c>
      <c r="F546" s="126" t="s">
        <v>28</v>
      </c>
      <c r="G546" s="121" t="s">
        <v>28</v>
      </c>
      <c r="H546" s="126" t="s">
        <v>28</v>
      </c>
      <c r="I546" s="126">
        <v>1</v>
      </c>
      <c r="J546" s="126">
        <v>0</v>
      </c>
      <c r="K546" s="126">
        <v>2</v>
      </c>
      <c r="L546" s="124">
        <v>1</v>
      </c>
      <c r="M546" s="126">
        <v>1</v>
      </c>
      <c r="N546" s="126">
        <v>1</v>
      </c>
      <c r="O546" s="126">
        <v>1</v>
      </c>
      <c r="P546" s="126"/>
      <c r="Q546" s="126">
        <v>0</v>
      </c>
      <c r="R546" s="126"/>
      <c r="S546" s="126">
        <v>1</v>
      </c>
      <c r="T546" s="124"/>
      <c r="U546" s="126">
        <v>1</v>
      </c>
      <c r="V546" s="126">
        <v>1</v>
      </c>
      <c r="W546" s="126">
        <v>3</v>
      </c>
      <c r="X546" s="126">
        <v>3</v>
      </c>
      <c r="Y546" s="126">
        <v>1</v>
      </c>
      <c r="Z546" s="124">
        <v>0</v>
      </c>
      <c r="AA546" s="126">
        <v>0</v>
      </c>
      <c r="AB546" s="124"/>
      <c r="AC546" s="126">
        <v>0</v>
      </c>
      <c r="AD546" s="124">
        <v>0</v>
      </c>
      <c r="AE546" s="126">
        <v>1</v>
      </c>
      <c r="AF546" s="124">
        <v>0</v>
      </c>
      <c r="AG546" s="126">
        <v>1</v>
      </c>
      <c r="AH546" s="126">
        <v>1</v>
      </c>
      <c r="AI546" s="126"/>
      <c r="AJ546" s="126"/>
      <c r="AK546" s="101">
        <v>20</v>
      </c>
    </row>
    <row r="547" spans="1:38" s="127" customFormat="1" ht="15.75">
      <c r="A547" s="120">
        <v>545</v>
      </c>
      <c r="B547" s="126" t="s">
        <v>658</v>
      </c>
      <c r="C547" s="135" t="s">
        <v>647</v>
      </c>
      <c r="D547" s="122" t="str">
        <f>"9400209"</f>
        <v>9400209</v>
      </c>
      <c r="E547" s="135" t="s">
        <v>468</v>
      </c>
      <c r="F547" s="126" t="s">
        <v>28</v>
      </c>
      <c r="G547" s="121" t="s">
        <v>28</v>
      </c>
      <c r="H547" s="126" t="s">
        <v>666</v>
      </c>
      <c r="I547" s="126">
        <v>1</v>
      </c>
      <c r="J547" s="126">
        <v>0</v>
      </c>
      <c r="K547" s="126">
        <v>1</v>
      </c>
      <c r="L547" s="124">
        <v>1</v>
      </c>
      <c r="M547" s="126">
        <v>1</v>
      </c>
      <c r="N547" s="126">
        <v>1</v>
      </c>
      <c r="O547" s="126">
        <v>0</v>
      </c>
      <c r="P547" s="126"/>
      <c r="Q547" s="126">
        <v>1</v>
      </c>
      <c r="R547" s="126"/>
      <c r="S547" s="126">
        <v>1</v>
      </c>
      <c r="T547" s="124"/>
      <c r="U547" s="126">
        <v>1</v>
      </c>
      <c r="V547" s="126">
        <v>1</v>
      </c>
      <c r="W547" s="126">
        <v>1</v>
      </c>
      <c r="X547" s="126">
        <v>1</v>
      </c>
      <c r="Y547" s="126">
        <v>1</v>
      </c>
      <c r="Z547" s="124">
        <v>0</v>
      </c>
      <c r="AA547" s="126">
        <v>0</v>
      </c>
      <c r="AB547" s="124"/>
      <c r="AC547" s="126">
        <v>0</v>
      </c>
      <c r="AD547" s="124">
        <v>0</v>
      </c>
      <c r="AE547" s="126">
        <v>1</v>
      </c>
      <c r="AF547" s="124">
        <v>0</v>
      </c>
      <c r="AG547" s="126">
        <v>1</v>
      </c>
      <c r="AH547" s="126">
        <v>1</v>
      </c>
      <c r="AI547" s="126"/>
      <c r="AJ547" s="126"/>
      <c r="AK547" s="101">
        <v>7</v>
      </c>
    </row>
    <row r="548" spans="1:38" s="127" customFormat="1" ht="15.75">
      <c r="A548" s="120">
        <v>546</v>
      </c>
      <c r="B548" s="126" t="s">
        <v>658</v>
      </c>
      <c r="C548" s="135" t="s">
        <v>633</v>
      </c>
      <c r="D548" s="122" t="str">
        <f>"9400211"</f>
        <v>9400211</v>
      </c>
      <c r="E548" s="135" t="s">
        <v>468</v>
      </c>
      <c r="F548" s="126" t="s">
        <v>28</v>
      </c>
      <c r="G548" s="121" t="s">
        <v>28</v>
      </c>
      <c r="H548" s="126" t="s">
        <v>28</v>
      </c>
      <c r="I548" s="126">
        <v>2</v>
      </c>
      <c r="J548" s="126">
        <v>0</v>
      </c>
      <c r="K548" s="126">
        <v>2</v>
      </c>
      <c r="L548" s="124">
        <v>1</v>
      </c>
      <c r="M548" s="126">
        <v>0</v>
      </c>
      <c r="N548" s="126">
        <v>0</v>
      </c>
      <c r="O548" s="126">
        <v>2</v>
      </c>
      <c r="P548" s="126">
        <v>1</v>
      </c>
      <c r="Q548" s="126">
        <v>1</v>
      </c>
      <c r="R548" s="126"/>
      <c r="S548" s="126">
        <v>1</v>
      </c>
      <c r="T548" s="124"/>
      <c r="U548" s="126">
        <v>3</v>
      </c>
      <c r="V548" s="126">
        <v>1</v>
      </c>
      <c r="W548" s="126">
        <v>2</v>
      </c>
      <c r="X548" s="126">
        <v>2</v>
      </c>
      <c r="Y548" s="126">
        <v>2</v>
      </c>
      <c r="Z548" s="124">
        <v>0</v>
      </c>
      <c r="AA548" s="126">
        <v>0</v>
      </c>
      <c r="AB548" s="124"/>
      <c r="AC548" s="126">
        <v>0</v>
      </c>
      <c r="AD548" s="124">
        <v>0</v>
      </c>
      <c r="AE548" s="126">
        <v>2</v>
      </c>
      <c r="AF548" s="124">
        <v>0</v>
      </c>
      <c r="AG548" s="126">
        <v>2</v>
      </c>
      <c r="AH548" s="126">
        <v>2</v>
      </c>
      <c r="AI548" s="126"/>
      <c r="AJ548" s="126"/>
      <c r="AK548" s="101">
        <v>35</v>
      </c>
    </row>
    <row r="549" spans="1:38" s="127" customFormat="1" ht="15.75">
      <c r="A549" s="120">
        <v>547</v>
      </c>
      <c r="B549" s="126" t="s">
        <v>658</v>
      </c>
      <c r="C549" s="135" t="s">
        <v>634</v>
      </c>
      <c r="D549" s="122" t="str">
        <f>"9400212"</f>
        <v>9400212</v>
      </c>
      <c r="E549" s="135" t="s">
        <v>468</v>
      </c>
      <c r="F549" s="126" t="s">
        <v>28</v>
      </c>
      <c r="G549" s="121" t="s">
        <v>28</v>
      </c>
      <c r="H549" s="126" t="s">
        <v>28</v>
      </c>
      <c r="I549" s="126"/>
      <c r="J549" s="126">
        <v>0</v>
      </c>
      <c r="K549" s="126"/>
      <c r="L549" s="124"/>
      <c r="M549" s="126"/>
      <c r="N549" s="126">
        <v>0</v>
      </c>
      <c r="O549" s="126"/>
      <c r="P549" s="126"/>
      <c r="Q549" s="126"/>
      <c r="R549" s="126"/>
      <c r="S549" s="126"/>
      <c r="T549" s="124"/>
      <c r="U549" s="126"/>
      <c r="V549" s="126"/>
      <c r="W549" s="126"/>
      <c r="X549" s="126"/>
      <c r="Y549" s="126"/>
      <c r="Z549" s="124">
        <v>0</v>
      </c>
      <c r="AA549" s="126"/>
      <c r="AB549" s="124"/>
      <c r="AC549" s="126"/>
      <c r="AD549" s="124">
        <v>0</v>
      </c>
      <c r="AE549" s="126"/>
      <c r="AF549" s="124">
        <v>0</v>
      </c>
      <c r="AG549" s="126"/>
      <c r="AH549" s="126"/>
      <c r="AI549" s="126"/>
      <c r="AJ549" s="126"/>
      <c r="AK549" s="101">
        <v>31</v>
      </c>
    </row>
    <row r="550" spans="1:38" s="127" customFormat="1" ht="15.75">
      <c r="A550" s="120">
        <v>548</v>
      </c>
      <c r="B550" s="126" t="s">
        <v>658</v>
      </c>
      <c r="C550" s="135" t="s">
        <v>635</v>
      </c>
      <c r="D550" s="122" t="str">
        <f>"9400213"</f>
        <v>9400213</v>
      </c>
      <c r="E550" s="135" t="s">
        <v>468</v>
      </c>
      <c r="F550" s="126" t="s">
        <v>28</v>
      </c>
      <c r="G550" s="121" t="s">
        <v>28</v>
      </c>
      <c r="H550" s="126" t="s">
        <v>28</v>
      </c>
      <c r="I550" s="126">
        <v>1</v>
      </c>
      <c r="J550" s="126">
        <v>0</v>
      </c>
      <c r="K550" s="126">
        <v>0</v>
      </c>
      <c r="L550" s="124"/>
      <c r="M550" s="126">
        <v>0</v>
      </c>
      <c r="N550" s="126">
        <v>0</v>
      </c>
      <c r="O550" s="126">
        <v>0</v>
      </c>
      <c r="P550" s="126"/>
      <c r="Q550" s="126">
        <v>1</v>
      </c>
      <c r="R550" s="126">
        <v>1</v>
      </c>
      <c r="S550" s="126">
        <v>0</v>
      </c>
      <c r="T550" s="124"/>
      <c r="U550" s="126">
        <v>0</v>
      </c>
      <c r="V550" s="126"/>
      <c r="W550" s="126">
        <v>0</v>
      </c>
      <c r="X550" s="126">
        <v>0</v>
      </c>
      <c r="Y550" s="126">
        <v>0</v>
      </c>
      <c r="Z550" s="124">
        <v>0</v>
      </c>
      <c r="AA550" s="126">
        <v>0</v>
      </c>
      <c r="AB550" s="124"/>
      <c r="AC550" s="126">
        <v>0</v>
      </c>
      <c r="AD550" s="124">
        <v>0</v>
      </c>
      <c r="AE550" s="126">
        <v>0</v>
      </c>
      <c r="AF550" s="124">
        <v>0</v>
      </c>
      <c r="AG550" s="126">
        <v>0</v>
      </c>
      <c r="AH550" s="126">
        <v>0</v>
      </c>
      <c r="AI550" s="126"/>
      <c r="AJ550" s="126"/>
      <c r="AK550" s="101">
        <v>16</v>
      </c>
    </row>
    <row r="551" spans="1:38" s="127" customFormat="1" ht="15.75">
      <c r="A551" s="120">
        <v>549</v>
      </c>
      <c r="B551" s="126" t="s">
        <v>658</v>
      </c>
      <c r="C551" s="135" t="s">
        <v>644</v>
      </c>
      <c r="D551" s="122" t="str">
        <f>"9400222"</f>
        <v>9400222</v>
      </c>
      <c r="E551" s="135" t="s">
        <v>468</v>
      </c>
      <c r="F551" s="126" t="s">
        <v>28</v>
      </c>
      <c r="G551" s="121" t="s">
        <v>28</v>
      </c>
      <c r="H551" s="126" t="s">
        <v>677</v>
      </c>
      <c r="I551" s="126"/>
      <c r="J551" s="126">
        <v>0</v>
      </c>
      <c r="K551" s="126"/>
      <c r="L551" s="124"/>
      <c r="M551" s="126"/>
      <c r="N551" s="126">
        <v>0</v>
      </c>
      <c r="O551" s="126"/>
      <c r="P551" s="126"/>
      <c r="Q551" s="126"/>
      <c r="R551" s="126"/>
      <c r="S551" s="126"/>
      <c r="T551" s="124"/>
      <c r="U551" s="126"/>
      <c r="V551" s="126"/>
      <c r="W551" s="126"/>
      <c r="X551" s="126"/>
      <c r="Y551" s="126"/>
      <c r="Z551" s="124">
        <v>0</v>
      </c>
      <c r="AA551" s="126"/>
      <c r="AB551" s="124"/>
      <c r="AC551" s="126"/>
      <c r="AD551" s="124">
        <v>0</v>
      </c>
      <c r="AE551" s="126"/>
      <c r="AF551" s="124">
        <v>0</v>
      </c>
      <c r="AG551" s="126"/>
      <c r="AH551" s="126"/>
      <c r="AI551" s="126"/>
      <c r="AJ551" s="126"/>
      <c r="AK551" s="101"/>
    </row>
    <row r="552" spans="1:38" s="127" customFormat="1" ht="15.75">
      <c r="A552" s="120">
        <v>550</v>
      </c>
      <c r="B552" s="126" t="s">
        <v>658</v>
      </c>
      <c r="C552" s="135" t="s">
        <v>617</v>
      </c>
      <c r="D552" s="122" t="str">
        <f>"9400223"</f>
        <v>9400223</v>
      </c>
      <c r="E552" s="135" t="s">
        <v>468</v>
      </c>
      <c r="F552" s="126" t="s">
        <v>28</v>
      </c>
      <c r="G552" s="121" t="s">
        <v>28</v>
      </c>
      <c r="H552" s="126" t="s">
        <v>28</v>
      </c>
      <c r="I552" s="126">
        <v>1</v>
      </c>
      <c r="J552" s="126">
        <v>0</v>
      </c>
      <c r="K552" s="126">
        <v>1</v>
      </c>
      <c r="L552" s="124">
        <v>1</v>
      </c>
      <c r="M552" s="126">
        <v>0</v>
      </c>
      <c r="N552" s="126">
        <v>0</v>
      </c>
      <c r="O552" s="126">
        <v>0</v>
      </c>
      <c r="P552" s="126"/>
      <c r="Q552" s="126">
        <v>1</v>
      </c>
      <c r="R552" s="126"/>
      <c r="S552" s="126">
        <v>1</v>
      </c>
      <c r="T552" s="124"/>
      <c r="U552" s="126">
        <v>1</v>
      </c>
      <c r="V552" s="126">
        <v>1</v>
      </c>
      <c r="W552" s="126">
        <v>0</v>
      </c>
      <c r="X552" s="126">
        <v>0</v>
      </c>
      <c r="Y552" s="126">
        <v>0</v>
      </c>
      <c r="Z552" s="124">
        <v>0</v>
      </c>
      <c r="AA552" s="126">
        <v>0</v>
      </c>
      <c r="AB552" s="124"/>
      <c r="AC552" s="126">
        <v>0</v>
      </c>
      <c r="AD552" s="124">
        <v>0</v>
      </c>
      <c r="AE552" s="126">
        <v>1</v>
      </c>
      <c r="AF552" s="124">
        <v>0</v>
      </c>
      <c r="AG552" s="126">
        <v>1</v>
      </c>
      <c r="AH552" s="126">
        <v>1</v>
      </c>
      <c r="AI552" s="126"/>
      <c r="AJ552" s="126"/>
      <c r="AK552" s="101">
        <v>20</v>
      </c>
    </row>
    <row r="553" spans="1:38" s="127" customFormat="1" ht="15.75">
      <c r="A553" s="120">
        <v>551</v>
      </c>
      <c r="B553" s="126" t="s">
        <v>658</v>
      </c>
      <c r="C553" s="135" t="s">
        <v>636</v>
      </c>
      <c r="D553" s="122" t="str">
        <f>"9400228"</f>
        <v>9400228</v>
      </c>
      <c r="E553" s="135" t="s">
        <v>468</v>
      </c>
      <c r="F553" s="126" t="s">
        <v>28</v>
      </c>
      <c r="G553" s="121" t="s">
        <v>28</v>
      </c>
      <c r="H553" s="126" t="s">
        <v>28</v>
      </c>
      <c r="I553" s="126"/>
      <c r="J553" s="126">
        <v>0</v>
      </c>
      <c r="K553" s="126"/>
      <c r="L553" s="124"/>
      <c r="M553" s="126"/>
      <c r="N553" s="126">
        <v>0</v>
      </c>
      <c r="O553" s="126"/>
      <c r="P553" s="126"/>
      <c r="Q553" s="126"/>
      <c r="R553" s="126"/>
      <c r="S553" s="126"/>
      <c r="T553" s="124"/>
      <c r="U553" s="126"/>
      <c r="V553" s="126"/>
      <c r="W553" s="126"/>
      <c r="X553" s="126"/>
      <c r="Y553" s="126"/>
      <c r="Z553" s="124">
        <v>0</v>
      </c>
      <c r="AA553" s="126"/>
      <c r="AB553" s="124"/>
      <c r="AC553" s="126"/>
      <c r="AD553" s="124">
        <v>0</v>
      </c>
      <c r="AE553" s="126"/>
      <c r="AF553" s="124">
        <v>0</v>
      </c>
      <c r="AG553" s="126"/>
      <c r="AH553" s="126"/>
      <c r="AI553" s="126"/>
      <c r="AJ553" s="126"/>
      <c r="AK553" s="101">
        <v>8</v>
      </c>
    </row>
    <row r="554" spans="1:38" s="127" customFormat="1" ht="15.75">
      <c r="A554" s="120">
        <v>552</v>
      </c>
      <c r="B554" s="126" t="s">
        <v>658</v>
      </c>
      <c r="C554" s="135" t="s">
        <v>614</v>
      </c>
      <c r="D554" s="122" t="str">
        <f>"9400233"</f>
        <v>9400233</v>
      </c>
      <c r="E554" s="135" t="s">
        <v>468</v>
      </c>
      <c r="F554" s="126" t="s">
        <v>28</v>
      </c>
      <c r="G554" s="121" t="s">
        <v>28</v>
      </c>
      <c r="H554" s="126" t="s">
        <v>28</v>
      </c>
      <c r="I554" s="126">
        <v>2</v>
      </c>
      <c r="J554" s="126">
        <v>0</v>
      </c>
      <c r="K554" s="126">
        <v>2</v>
      </c>
      <c r="L554" s="124">
        <v>1</v>
      </c>
      <c r="M554" s="126">
        <v>1</v>
      </c>
      <c r="N554" s="126">
        <v>1</v>
      </c>
      <c r="O554" s="126">
        <v>1</v>
      </c>
      <c r="P554" s="126"/>
      <c r="Q554" s="126">
        <v>2</v>
      </c>
      <c r="R554" s="126"/>
      <c r="S554" s="126">
        <v>2</v>
      </c>
      <c r="T554" s="124"/>
      <c r="U554" s="126">
        <v>2</v>
      </c>
      <c r="V554" s="126">
        <v>1</v>
      </c>
      <c r="W554" s="126">
        <v>2</v>
      </c>
      <c r="X554" s="126">
        <v>2</v>
      </c>
      <c r="Y554" s="126">
        <v>0</v>
      </c>
      <c r="Z554" s="124">
        <v>0</v>
      </c>
      <c r="AA554" s="126">
        <v>1</v>
      </c>
      <c r="AB554" s="124"/>
      <c r="AC554" s="126">
        <v>1</v>
      </c>
      <c r="AD554" s="124">
        <v>0</v>
      </c>
      <c r="AE554" s="126">
        <v>2</v>
      </c>
      <c r="AF554" s="124">
        <v>0</v>
      </c>
      <c r="AG554" s="126">
        <v>2</v>
      </c>
      <c r="AH554" s="126">
        <v>2</v>
      </c>
      <c r="AI554" s="126"/>
      <c r="AJ554" s="126"/>
      <c r="AK554" s="101">
        <v>42</v>
      </c>
    </row>
    <row r="555" spans="1:38" s="127" customFormat="1" ht="15.75">
      <c r="A555" s="120">
        <v>553</v>
      </c>
      <c r="B555" s="126" t="s">
        <v>658</v>
      </c>
      <c r="C555" s="135" t="s">
        <v>618</v>
      </c>
      <c r="D555" s="122" t="str">
        <f>"9520894"</f>
        <v>9520894</v>
      </c>
      <c r="E555" s="135" t="s">
        <v>468</v>
      </c>
      <c r="F555" s="126" t="s">
        <v>28</v>
      </c>
      <c r="G555" s="121" t="s">
        <v>28</v>
      </c>
      <c r="H555" s="126" t="s">
        <v>28</v>
      </c>
      <c r="I555" s="126"/>
      <c r="J555" s="126">
        <v>0</v>
      </c>
      <c r="K555" s="126"/>
      <c r="L555" s="124"/>
      <c r="M555" s="126"/>
      <c r="N555" s="126">
        <v>0</v>
      </c>
      <c r="O555" s="126"/>
      <c r="P555" s="126"/>
      <c r="Q555" s="126"/>
      <c r="R555" s="126"/>
      <c r="S555" s="126"/>
      <c r="T555" s="124"/>
      <c r="U555" s="126"/>
      <c r="V555" s="126"/>
      <c r="W555" s="126"/>
      <c r="X555" s="126"/>
      <c r="Y555" s="126"/>
      <c r="Z555" s="124">
        <v>0</v>
      </c>
      <c r="AA555" s="126"/>
      <c r="AB555" s="124"/>
      <c r="AC555" s="126"/>
      <c r="AD555" s="124">
        <v>0</v>
      </c>
      <c r="AE555" s="126"/>
      <c r="AF555" s="124">
        <v>0</v>
      </c>
      <c r="AG555" s="126"/>
      <c r="AH555" s="126"/>
      <c r="AI555" s="126"/>
      <c r="AJ555" s="126"/>
      <c r="AK555" s="104">
        <v>6</v>
      </c>
    </row>
    <row r="556" spans="1:38">
      <c r="I556" s="1">
        <f t="shared" ref="I556:AG556" si="0">SUM(I3:I555)</f>
        <v>1153</v>
      </c>
      <c r="J556" s="136">
        <f t="shared" si="0"/>
        <v>314</v>
      </c>
      <c r="K556" s="1">
        <f t="shared" si="0"/>
        <v>802</v>
      </c>
      <c r="L556" s="136">
        <f t="shared" si="0"/>
        <v>381</v>
      </c>
      <c r="M556" s="1">
        <f t="shared" si="0"/>
        <v>511</v>
      </c>
      <c r="N556" s="136">
        <f t="shared" si="0"/>
        <v>294</v>
      </c>
      <c r="O556" s="1">
        <f t="shared" si="0"/>
        <v>564</v>
      </c>
      <c r="P556" s="136">
        <f t="shared" si="0"/>
        <v>69</v>
      </c>
      <c r="Q556" s="1">
        <f t="shared" si="0"/>
        <v>411</v>
      </c>
      <c r="R556" s="136">
        <f t="shared" si="0"/>
        <v>183</v>
      </c>
      <c r="S556" s="1">
        <f t="shared" si="0"/>
        <v>285</v>
      </c>
      <c r="T556" s="1">
        <f t="shared" si="0"/>
        <v>0</v>
      </c>
      <c r="U556" s="1">
        <f t="shared" si="0"/>
        <v>400</v>
      </c>
      <c r="V556" s="136">
        <f t="shared" si="0"/>
        <v>164</v>
      </c>
      <c r="W556" s="1">
        <f t="shared" si="0"/>
        <v>622</v>
      </c>
      <c r="X556" s="136">
        <f t="shared" si="0"/>
        <v>591</v>
      </c>
      <c r="Y556" s="1">
        <f t="shared" si="0"/>
        <v>159</v>
      </c>
      <c r="Z556" s="136">
        <f t="shared" si="0"/>
        <v>84</v>
      </c>
      <c r="AA556" s="1">
        <v>56</v>
      </c>
      <c r="AB556" s="136">
        <f t="shared" si="0"/>
        <v>56</v>
      </c>
      <c r="AC556" s="1">
        <v>43</v>
      </c>
      <c r="AD556" s="136">
        <f t="shared" si="0"/>
        <v>43</v>
      </c>
      <c r="AE556" s="1">
        <f t="shared" si="0"/>
        <v>894</v>
      </c>
      <c r="AF556" s="1">
        <f t="shared" si="0"/>
        <v>0</v>
      </c>
      <c r="AG556" s="1">
        <f t="shared" si="0"/>
        <v>184</v>
      </c>
      <c r="AH556" s="136">
        <f>SUM(AH3:AH555)</f>
        <v>178</v>
      </c>
      <c r="AJ556" s="136">
        <v>73</v>
      </c>
      <c r="AL556" s="136"/>
    </row>
    <row r="557" spans="1:38">
      <c r="AJ557" s="136">
        <v>35</v>
      </c>
      <c r="AL557" s="136"/>
    </row>
    <row r="558" spans="1:38">
      <c r="E558" s="78"/>
      <c r="F558" s="78"/>
      <c r="G558" s="78"/>
      <c r="H558" s="78"/>
      <c r="I558" s="137"/>
      <c r="J558" s="78"/>
      <c r="K558" s="137"/>
      <c r="L558" s="78"/>
      <c r="M558" s="137"/>
      <c r="N558" s="78"/>
      <c r="O558" s="137"/>
      <c r="P558" s="78"/>
      <c r="Q558" s="137"/>
      <c r="R558" s="78"/>
      <c r="S558" s="78"/>
      <c r="T558" s="78"/>
      <c r="U558" s="137"/>
      <c r="V558" s="78"/>
      <c r="W558" s="137"/>
      <c r="X558" s="78"/>
      <c r="Y558" s="137"/>
      <c r="Z558" s="78"/>
      <c r="AA558" s="137"/>
      <c r="AB558" s="78"/>
      <c r="AC558" s="137"/>
      <c r="AD558" s="78"/>
      <c r="AE558" s="78"/>
      <c r="AF558" s="78"/>
      <c r="AG558" s="137"/>
      <c r="AH558" s="78"/>
      <c r="AI558" s="137"/>
      <c r="AJ558" s="78"/>
      <c r="AK558" s="78"/>
      <c r="AL558" s="136"/>
    </row>
    <row r="559" spans="1:38">
      <c r="E559" s="78"/>
      <c r="F559" s="78"/>
      <c r="G559" s="78"/>
      <c r="H559" s="78"/>
      <c r="I559" s="137"/>
      <c r="J559" s="78"/>
      <c r="K559" s="137"/>
      <c r="L559" s="78"/>
      <c r="M559" s="137"/>
      <c r="N559" s="78"/>
      <c r="O559" s="137"/>
      <c r="P559" s="78"/>
      <c r="Q559" s="137"/>
      <c r="R559" s="78"/>
      <c r="S559" s="78"/>
      <c r="T559" s="78"/>
      <c r="U559" s="137"/>
      <c r="V559" s="78"/>
      <c r="W559" s="137"/>
      <c r="X559" s="78"/>
      <c r="Y559" s="137"/>
      <c r="Z559" s="78"/>
      <c r="AA559" s="137"/>
      <c r="AB559" s="78"/>
      <c r="AC559" s="137"/>
      <c r="AD559" s="78"/>
      <c r="AE559" s="78"/>
      <c r="AF559" s="78"/>
      <c r="AG559" s="137"/>
      <c r="AH559" s="78"/>
      <c r="AI559" s="137"/>
      <c r="AJ559" s="78"/>
      <c r="AK559" s="78"/>
      <c r="AL559" s="136"/>
    </row>
    <row r="560" spans="1:38">
      <c r="E560" s="78"/>
      <c r="F560" s="78"/>
      <c r="G560" s="78"/>
      <c r="H560" s="78"/>
      <c r="I560" s="138"/>
      <c r="J560" s="78"/>
      <c r="K560" s="138"/>
      <c r="L560" s="78"/>
      <c r="M560" s="138"/>
      <c r="N560" s="78"/>
      <c r="O560" s="138"/>
      <c r="P560" s="78"/>
      <c r="Q560" s="138"/>
      <c r="R560" s="78"/>
      <c r="S560" s="78"/>
      <c r="T560" s="78"/>
      <c r="U560" s="138"/>
      <c r="V560" s="78"/>
      <c r="W560" s="138"/>
      <c r="X560" s="78"/>
      <c r="Y560" s="138"/>
      <c r="Z560" s="78"/>
      <c r="AA560" s="138"/>
      <c r="AB560" s="78"/>
      <c r="AC560" s="138"/>
      <c r="AD560" s="78"/>
      <c r="AE560" s="78"/>
      <c r="AF560" s="78"/>
      <c r="AG560" s="138"/>
      <c r="AH560" s="78"/>
      <c r="AI560" s="138"/>
      <c r="AJ560" s="78"/>
      <c r="AK560" s="78"/>
      <c r="AL560" s="136"/>
    </row>
    <row r="561" spans="5:38">
      <c r="E561" s="78"/>
      <c r="F561" s="78"/>
      <c r="G561" s="78"/>
      <c r="H561" s="78"/>
      <c r="I561" s="139"/>
      <c r="J561" s="78"/>
      <c r="K561" s="139"/>
      <c r="L561" s="78"/>
      <c r="M561" s="139"/>
      <c r="N561" s="78"/>
      <c r="O561" s="139"/>
      <c r="P561" s="78"/>
      <c r="Q561" s="139"/>
      <c r="R561" s="78"/>
      <c r="S561" s="78"/>
      <c r="T561" s="78"/>
      <c r="U561" s="139"/>
      <c r="V561" s="78"/>
      <c r="W561" s="139"/>
      <c r="X561" s="78"/>
      <c r="Y561" s="139"/>
      <c r="Z561" s="78"/>
      <c r="AA561" s="139"/>
      <c r="AB561" s="78"/>
      <c r="AC561" s="139"/>
      <c r="AD561" s="78"/>
      <c r="AE561" s="78"/>
      <c r="AF561" s="78"/>
      <c r="AG561" s="139"/>
      <c r="AH561" s="78"/>
      <c r="AI561" s="139"/>
      <c r="AJ561" s="78"/>
      <c r="AK561" s="78"/>
      <c r="AL561" s="136"/>
    </row>
    <row r="562" spans="5:38">
      <c r="E562" s="78"/>
      <c r="F562" s="78"/>
      <c r="G562" s="78"/>
      <c r="H562" s="78"/>
      <c r="I562" s="139"/>
      <c r="J562" s="78"/>
      <c r="K562" s="139"/>
      <c r="L562" s="78"/>
      <c r="M562" s="139"/>
      <c r="N562" s="78"/>
      <c r="O562" s="139"/>
      <c r="P562" s="78"/>
      <c r="Q562" s="139"/>
      <c r="R562" s="78"/>
      <c r="S562" s="78"/>
      <c r="T562" s="78"/>
      <c r="U562" s="139"/>
      <c r="V562" s="78"/>
      <c r="W562" s="139"/>
      <c r="X562" s="78"/>
      <c r="Y562" s="139"/>
      <c r="Z562" s="78"/>
      <c r="AA562" s="139"/>
      <c r="AB562" s="78"/>
      <c r="AC562" s="139"/>
      <c r="AD562" s="78"/>
      <c r="AE562" s="78"/>
      <c r="AF562" s="78"/>
      <c r="AG562" s="139"/>
      <c r="AH562" s="78"/>
      <c r="AI562" s="139"/>
      <c r="AJ562" s="78"/>
      <c r="AK562" s="78"/>
      <c r="AL562" s="136"/>
    </row>
    <row r="563" spans="5:38">
      <c r="E563" s="78"/>
      <c r="F563" s="78"/>
      <c r="G563" s="78"/>
      <c r="H563" s="78"/>
      <c r="I563" s="138"/>
      <c r="J563" s="78"/>
      <c r="K563" s="138"/>
      <c r="L563" s="78"/>
      <c r="M563" s="138"/>
      <c r="N563" s="78"/>
      <c r="O563" s="138"/>
      <c r="P563" s="78"/>
      <c r="Q563" s="138"/>
      <c r="R563" s="78"/>
      <c r="S563" s="78"/>
      <c r="T563" s="78"/>
      <c r="U563" s="138"/>
      <c r="V563" s="78"/>
      <c r="W563" s="138"/>
      <c r="X563" s="78"/>
      <c r="Y563" s="138"/>
      <c r="Z563" s="78"/>
      <c r="AA563" s="138"/>
      <c r="AB563" s="78"/>
      <c r="AC563" s="138"/>
      <c r="AD563" s="78"/>
      <c r="AE563" s="78"/>
      <c r="AF563" s="78"/>
      <c r="AG563" s="138"/>
      <c r="AH563" s="78"/>
      <c r="AI563" s="138"/>
      <c r="AJ563" s="78"/>
      <c r="AK563" s="78"/>
      <c r="AL563" s="136"/>
    </row>
    <row r="564" spans="5:38">
      <c r="E564" s="78"/>
      <c r="F564" s="78"/>
      <c r="G564" s="78"/>
      <c r="H564" s="78"/>
      <c r="I564" s="138"/>
      <c r="J564" s="78"/>
      <c r="K564" s="138"/>
      <c r="L564" s="78"/>
      <c r="M564" s="138"/>
      <c r="N564" s="78"/>
      <c r="O564" s="138"/>
      <c r="P564" s="78"/>
      <c r="Q564" s="138"/>
      <c r="R564" s="78"/>
      <c r="S564" s="78"/>
      <c r="T564" s="78"/>
      <c r="U564" s="138"/>
      <c r="V564" s="78"/>
      <c r="W564" s="138"/>
      <c r="X564" s="78"/>
      <c r="Y564" s="138"/>
      <c r="Z564" s="78"/>
      <c r="AA564" s="138"/>
      <c r="AB564" s="78"/>
      <c r="AC564" s="138"/>
      <c r="AD564" s="78"/>
      <c r="AE564" s="78"/>
      <c r="AF564" s="78"/>
      <c r="AG564" s="138"/>
      <c r="AH564" s="78"/>
      <c r="AI564" s="138"/>
      <c r="AJ564" s="78"/>
      <c r="AK564" s="78"/>
      <c r="AL564" s="136"/>
    </row>
    <row r="565" spans="5:38">
      <c r="E565" s="78"/>
      <c r="F565" s="78"/>
      <c r="G565" s="78"/>
      <c r="H565" s="78"/>
      <c r="I565" s="140"/>
      <c r="J565" s="78"/>
      <c r="K565" s="140"/>
      <c r="L565" s="78"/>
      <c r="M565" s="140"/>
      <c r="N565" s="78"/>
      <c r="O565" s="140"/>
      <c r="P565" s="78"/>
      <c r="Q565" s="140"/>
      <c r="R565" s="78"/>
      <c r="S565" s="78"/>
      <c r="T565" s="78"/>
      <c r="U565" s="140"/>
      <c r="V565" s="78"/>
      <c r="W565" s="140"/>
      <c r="X565" s="78"/>
      <c r="Y565" s="140"/>
      <c r="Z565" s="78"/>
      <c r="AA565" s="140"/>
      <c r="AB565" s="78"/>
      <c r="AC565" s="140"/>
      <c r="AD565" s="78"/>
      <c r="AE565" s="78"/>
      <c r="AF565" s="78"/>
      <c r="AG565" s="140"/>
      <c r="AH565" s="78"/>
      <c r="AI565" s="140"/>
      <c r="AJ565" s="78"/>
      <c r="AK565" s="78"/>
      <c r="AL565" s="136"/>
    </row>
    <row r="566" spans="5:38">
      <c r="E566" s="78"/>
      <c r="F566" s="78"/>
      <c r="G566" s="78"/>
      <c r="H566" s="78"/>
      <c r="I566" s="138"/>
      <c r="J566" s="78"/>
      <c r="K566" s="138"/>
      <c r="L566" s="78"/>
      <c r="M566" s="138"/>
      <c r="N566" s="78"/>
      <c r="O566" s="138"/>
      <c r="P566" s="78"/>
      <c r="Q566" s="138"/>
      <c r="R566" s="78"/>
      <c r="S566" s="78"/>
      <c r="T566" s="78"/>
      <c r="U566" s="138"/>
      <c r="V566" s="78"/>
      <c r="W566" s="138"/>
      <c r="X566" s="78"/>
      <c r="Y566" s="138"/>
      <c r="Z566" s="78"/>
      <c r="AA566" s="138"/>
      <c r="AB566" s="78"/>
      <c r="AC566" s="138"/>
      <c r="AD566" s="78"/>
      <c r="AE566" s="78"/>
      <c r="AF566" s="78"/>
      <c r="AG566" s="138"/>
      <c r="AH566" s="78"/>
      <c r="AI566" s="138"/>
      <c r="AJ566" s="78"/>
      <c r="AK566" s="78"/>
      <c r="AL566" s="136"/>
    </row>
    <row r="567" spans="5:38">
      <c r="E567" s="78"/>
      <c r="F567" s="78"/>
      <c r="G567" s="78"/>
      <c r="H567" s="78"/>
      <c r="I567" s="78"/>
      <c r="J567" s="78"/>
      <c r="K567" s="78"/>
      <c r="L567" s="78"/>
      <c r="M567" s="78"/>
      <c r="N567" s="78"/>
      <c r="O567" s="78"/>
      <c r="P567" s="78"/>
      <c r="Q567" s="78"/>
      <c r="R567" s="78"/>
      <c r="S567" s="78"/>
      <c r="T567" s="78"/>
      <c r="U567" s="78"/>
      <c r="V567" s="78"/>
      <c r="W567" s="78"/>
      <c r="X567" s="78"/>
      <c r="Y567" s="78"/>
      <c r="Z567" s="78"/>
      <c r="AA567" s="78"/>
      <c r="AB567" s="78"/>
      <c r="AC567" s="78"/>
      <c r="AD567" s="78"/>
      <c r="AE567" s="78"/>
      <c r="AF567" s="78"/>
      <c r="AG567" s="78"/>
      <c r="AH567" s="78"/>
      <c r="AI567" s="78"/>
      <c r="AJ567" s="78"/>
      <c r="AK567" s="78"/>
      <c r="AL567" s="136"/>
    </row>
    <row r="568" spans="5:38">
      <c r="E568" s="78"/>
      <c r="F568" s="78"/>
      <c r="G568" s="78"/>
      <c r="H568" s="78"/>
      <c r="I568" s="78"/>
      <c r="J568" s="78"/>
      <c r="K568" s="78"/>
      <c r="L568" s="78"/>
      <c r="M568" s="78"/>
      <c r="N568" s="78"/>
      <c r="O568" s="78"/>
      <c r="P568" s="78"/>
      <c r="Q568" s="78"/>
      <c r="R568" s="78"/>
      <c r="S568" s="78"/>
      <c r="T568" s="78"/>
      <c r="U568" s="78"/>
      <c r="V568" s="78"/>
      <c r="W568" s="78"/>
      <c r="X568" s="78"/>
      <c r="Y568" s="78"/>
      <c r="Z568" s="78"/>
      <c r="AA568" s="78"/>
      <c r="AB568" s="78"/>
      <c r="AC568" s="78"/>
      <c r="AD568" s="78"/>
      <c r="AE568" s="78"/>
      <c r="AF568" s="78"/>
      <c r="AG568" s="78"/>
      <c r="AH568" s="78"/>
      <c r="AI568" s="78"/>
      <c r="AJ568" s="78"/>
      <c r="AK568" s="78"/>
      <c r="AL568" s="136"/>
    </row>
    <row r="569" spans="5:38">
      <c r="E569" s="78"/>
      <c r="F569" s="78"/>
      <c r="G569" s="78"/>
      <c r="H569" s="78"/>
      <c r="I569" s="78"/>
      <c r="J569" s="78"/>
      <c r="K569" s="78"/>
      <c r="L569" s="78"/>
      <c r="M569" s="78"/>
      <c r="N569" s="78"/>
      <c r="O569" s="78"/>
      <c r="P569" s="78"/>
      <c r="Q569" s="78"/>
      <c r="R569" s="78"/>
      <c r="S569" s="78"/>
      <c r="T569" s="78"/>
      <c r="U569" s="78"/>
      <c r="V569" s="78"/>
      <c r="W569" s="78"/>
      <c r="X569" s="78"/>
      <c r="Y569" s="78"/>
      <c r="Z569" s="78"/>
      <c r="AA569" s="78"/>
      <c r="AB569" s="78"/>
      <c r="AC569" s="78"/>
      <c r="AD569" s="78"/>
      <c r="AE569" s="78"/>
      <c r="AF569" s="78"/>
      <c r="AG569" s="78"/>
      <c r="AH569" s="78"/>
      <c r="AI569" s="78"/>
      <c r="AJ569" s="78"/>
      <c r="AK569" s="78"/>
    </row>
    <row r="570" spans="5:38">
      <c r="E570" s="78"/>
      <c r="F570" s="78"/>
      <c r="G570" s="78"/>
      <c r="H570" s="78"/>
      <c r="I570" s="78"/>
      <c r="J570" s="78"/>
      <c r="K570" s="78"/>
      <c r="L570" s="78"/>
      <c r="M570" s="78"/>
      <c r="N570" s="78"/>
      <c r="O570" s="78"/>
      <c r="P570" s="78"/>
      <c r="Q570" s="78"/>
      <c r="R570" s="78"/>
      <c r="S570" s="78"/>
      <c r="T570" s="78"/>
      <c r="U570" s="78"/>
      <c r="V570" s="78"/>
      <c r="W570" s="78"/>
      <c r="X570" s="78"/>
      <c r="Y570" s="78"/>
      <c r="Z570" s="78"/>
      <c r="AA570" s="78"/>
      <c r="AB570" s="78"/>
      <c r="AC570" s="78"/>
      <c r="AD570" s="78"/>
      <c r="AE570" s="78"/>
      <c r="AF570" s="78"/>
      <c r="AG570" s="78"/>
      <c r="AH570" s="78"/>
      <c r="AI570" s="78"/>
      <c r="AJ570" s="78"/>
      <c r="AK570" s="78"/>
    </row>
  </sheetData>
  <sortState ref="A3:AK555">
    <sortCondition ref="B3:B555"/>
    <sortCondition ref="E3:E555"/>
    <sortCondition ref="G3:G555"/>
  </sortState>
  <mergeCells count="7">
    <mergeCell ref="I1:AI1"/>
    <mergeCell ref="A1:A2"/>
    <mergeCell ref="C1:C2"/>
    <mergeCell ref="E1:E2"/>
    <mergeCell ref="F1:F2"/>
    <mergeCell ref="G1:G2"/>
    <mergeCell ref="H1:H2"/>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3">
        <x14:dataValidation type="list" allowBlank="1" showInputMessage="1" showErrorMessage="1" xr:uid="{0ECBE89D-25A3-4C2C-8BB4-B733B5E3CC1D}">
          <x14:formula1>
            <xm:f>ΔΕΔΟΜΕΝΑ!$A$4:$A$7</xm:f>
          </x14:formula1>
          <xm:sqref>E3:E19 E37:E50 I565:I566 K565:K566 M565:M566 O565:O566 Q565:Q566 U565:U566 W565:W566 Y565:Y566 AA565:AA566 AC565:AC566 AG565:AG566 AI565:AI566</xm:sqref>
        </x14:dataValidation>
        <x14:dataValidation type="list" allowBlank="1" showInputMessage="1" showErrorMessage="1" xr:uid="{5FFE1302-F8A7-482F-A720-7E043B0BA667}">
          <x14:formula1>
            <xm:f>ΔΕΔΟΜΕΝΑ!$B$4:$B$7</xm:f>
          </x14:formula1>
          <xm:sqref>F3:F36</xm:sqref>
        </x14:dataValidation>
        <x14:dataValidation type="list" allowBlank="1" showInputMessage="1" showErrorMessage="1" xr:uid="{27CCFCBC-C7EB-43CF-8FA1-5864B6CC6C64}">
          <x14:formula1>
            <xm:f>'C:\Users\Oikon\AppData\Local\Temp\pid-10040\[Χαρτογράφηση_ΕΚΠΑΙΔΕΥΣΗΣ_ΗΠΕΙΡΟΣ.xlsx]ΔΕΔΟΜΕΝΑ'!#REF!</xm:f>
          </x14:formula1>
          <xm:sqref>F149:F315 E149:E308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011A7D-54A3-439F-8540-8FB4AAEB3F64}">
  <dimension ref="B3"/>
  <sheetViews>
    <sheetView workbookViewId="0">
      <selection activeCell="B11" sqref="B11"/>
    </sheetView>
  </sheetViews>
  <sheetFormatPr defaultRowHeight="14.25"/>
  <cols>
    <col min="2" max="2" width="47.75" customWidth="1"/>
  </cols>
  <sheetData>
    <row r="3" spans="2:2">
      <c r="B3" s="14" t="s">
        <v>41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B94D6-A747-463B-A432-B96B5486D335}">
  <dimension ref="A1:E7"/>
  <sheetViews>
    <sheetView workbookViewId="0">
      <selection activeCell="D9" sqref="D9"/>
    </sheetView>
  </sheetViews>
  <sheetFormatPr defaultRowHeight="14.25"/>
  <cols>
    <col min="1" max="1" width="34.25" style="8" customWidth="1"/>
    <col min="2" max="2" width="21.75" bestFit="1" customWidth="1"/>
    <col min="3" max="3" width="12.25" bestFit="1" customWidth="1"/>
    <col min="4" max="4" width="25.75" customWidth="1"/>
    <col min="5" max="5" width="16.25" bestFit="1" customWidth="1"/>
  </cols>
  <sheetData>
    <row r="1" spans="1:5">
      <c r="A1" s="8" t="s">
        <v>18</v>
      </c>
    </row>
    <row r="3" spans="1:5">
      <c r="A3" s="9" t="s">
        <v>19</v>
      </c>
      <c r="B3" s="9" t="s">
        <v>24</v>
      </c>
      <c r="C3" s="9" t="s">
        <v>29</v>
      </c>
      <c r="D3" s="9" t="s">
        <v>37</v>
      </c>
      <c r="E3" s="9" t="s">
        <v>38</v>
      </c>
    </row>
    <row r="4" spans="1:5">
      <c r="A4" s="8" t="s">
        <v>20</v>
      </c>
      <c r="B4" t="s">
        <v>25</v>
      </c>
      <c r="C4" t="s">
        <v>30</v>
      </c>
      <c r="D4" t="s">
        <v>34</v>
      </c>
      <c r="E4" t="s">
        <v>39</v>
      </c>
    </row>
    <row r="5" spans="1:5">
      <c r="A5" s="8" t="s">
        <v>21</v>
      </c>
      <c r="B5" t="s">
        <v>26</v>
      </c>
      <c r="C5" t="s">
        <v>31</v>
      </c>
      <c r="D5" t="s">
        <v>35</v>
      </c>
      <c r="E5" t="s">
        <v>40</v>
      </c>
    </row>
    <row r="6" spans="1:5">
      <c r="A6" s="8" t="s">
        <v>22</v>
      </c>
      <c r="B6" t="s">
        <v>27</v>
      </c>
      <c r="C6" t="s">
        <v>32</v>
      </c>
      <c r="D6" t="s">
        <v>36</v>
      </c>
    </row>
    <row r="7" spans="1:5">
      <c r="A7" s="8" t="s">
        <v>23</v>
      </c>
      <c r="B7" t="s">
        <v>28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6</vt:i4>
      </vt:variant>
    </vt:vector>
  </HeadingPairs>
  <TitlesOfParts>
    <vt:vector size="6" baseType="lpstr">
      <vt:lpstr>Σχολ. Μονάδες</vt:lpstr>
      <vt:lpstr>Χαρτογράφηση αναγκών ΑΜΕΑ</vt:lpstr>
      <vt:lpstr>Χαρτογράφηση Κτιρ. Εγκατ.</vt:lpstr>
      <vt:lpstr>Χαρτογράφηση ΤΠΕ</vt:lpstr>
      <vt:lpstr>ΓΡΑΦΗΜΑΤΑ</vt:lpstr>
      <vt:lpstr>ΔΕΔΟΜΕΝΑ</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ΜΠΑΛΤΟΓΙΑΝΝΗΣ ΝΙΚΟΛΑΟΣ</dc:creator>
  <cp:lastModifiedBy>Oikon</cp:lastModifiedBy>
  <dcterms:created xsi:type="dcterms:W3CDTF">2024-11-29T11:21:20Z</dcterms:created>
  <dcterms:modified xsi:type="dcterms:W3CDTF">2025-04-02T06:18:58Z</dcterms:modified>
</cp:coreProperties>
</file>